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petercronin/Desktop/"/>
    </mc:Choice>
  </mc:AlternateContent>
  <xr:revisionPtr revIDLastSave="0" documentId="8_{4A249D0F-D1C7-FE41-94CA-D15B1F06A10E}" xr6:coauthVersionLast="47" xr6:coauthVersionMax="47" xr10:uidLastSave="{00000000-0000-0000-0000-000000000000}"/>
  <bookViews>
    <workbookView xWindow="-31240" yWindow="-1000" windowWidth="33780" windowHeight="20360" tabRatio="907" activeTab="1" xr2:uid="{497A13B9-49F3-4641-9B36-02A6C7AE41B9}"/>
  </bookViews>
  <sheets>
    <sheet name="Summary Sheet " sheetId="16" r:id="rId1"/>
    <sheet name="Quarterly Measurements - 1&amp;2" sheetId="7" r:id="rId2"/>
    <sheet name="Monthly measurements - 1&amp;2 " sheetId="1" r:id="rId3"/>
    <sheet name="SCOPE 3 - 2022 Business Travel" sheetId="9" state="hidden" r:id="rId4"/>
    <sheet name="SCOPE 3 - 2022 WFH and commute" sheetId="8" state="hidden" r:id="rId5"/>
    <sheet name="SCOPE 3 - 2023 Business Travel" sheetId="11" state="hidden" r:id="rId6"/>
    <sheet name="SCOPE 3 - 2023 WFH and commute" sheetId="14" state="hidden" r:id="rId7"/>
    <sheet name="SCOPE 3 - 2024 Business Travel" sheetId="12" r:id="rId8"/>
    <sheet name="SCOPE 3 - 2024 WFH and commute" sheetId="15" r:id="rId9"/>
    <sheet name="SCOPE 1 - 2025 Petrol CO2 Emiss" sheetId="19" r:id="rId10"/>
    <sheet name="SCOPE 3 - 2025 BT" sheetId="17" r:id="rId11"/>
    <sheet name="SCOPE 3 - 2025 WFH" sheetId="18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7" l="1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R23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R15" i="7"/>
  <c r="C11" i="7"/>
  <c r="D11" i="7"/>
  <c r="E11" i="7"/>
  <c r="F11" i="7"/>
  <c r="G11" i="7"/>
  <c r="H11" i="7"/>
  <c r="C10" i="7"/>
  <c r="D10" i="7"/>
  <c r="E10" i="7"/>
  <c r="F10" i="7"/>
  <c r="G10" i="7"/>
  <c r="H10" i="7"/>
  <c r="C9" i="7"/>
  <c r="D9" i="7"/>
  <c r="E9" i="7"/>
  <c r="F9" i="7"/>
  <c r="G9" i="7"/>
  <c r="H9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R24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E19" i="1"/>
  <c r="C19" i="1"/>
  <c r="D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N11" i="19"/>
  <c r="N37" i="19"/>
  <c r="N23" i="19"/>
  <c r="N19" i="19"/>
  <c r="N46" i="19"/>
  <c r="N43" i="19"/>
  <c r="N34" i="19"/>
  <c r="N31" i="19"/>
  <c r="N28" i="19"/>
  <c r="N16" i="19"/>
  <c r="N8" i="19"/>
  <c r="N5" i="19"/>
  <c r="I5" i="18" l="1"/>
  <c r="L5" i="18" s="1"/>
  <c r="I4" i="18"/>
  <c r="L4" i="18" s="1"/>
  <c r="I3" i="18"/>
  <c r="L3" i="18" s="1"/>
  <c r="M37" i="19"/>
  <c r="K48" i="19"/>
  <c r="M8" i="19"/>
  <c r="M11" i="19"/>
  <c r="M12" i="19"/>
  <c r="M13" i="19"/>
  <c r="M16" i="19"/>
  <c r="M19" i="19"/>
  <c r="M20" i="19"/>
  <c r="M23" i="19"/>
  <c r="M24" i="19"/>
  <c r="M25" i="19"/>
  <c r="M28" i="19"/>
  <c r="M31" i="19"/>
  <c r="M34" i="19"/>
  <c r="M38" i="19"/>
  <c r="M39" i="19"/>
  <c r="M40" i="19"/>
  <c r="M43" i="19"/>
  <c r="M46" i="19"/>
  <c r="M5" i="19"/>
  <c r="L21" i="17"/>
  <c r="D74" i="12"/>
  <c r="Q8" i="12"/>
  <c r="Q9" i="12"/>
  <c r="D78" i="11"/>
  <c r="Q10" i="9"/>
  <c r="H4" i="17"/>
  <c r="H5" i="17"/>
  <c r="H6" i="17"/>
  <c r="H7" i="17"/>
  <c r="H8" i="17"/>
  <c r="H3" i="17"/>
  <c r="J3" i="17" s="1"/>
  <c r="L32" i="15"/>
  <c r="L15" i="15"/>
  <c r="I14" i="15"/>
  <c r="I13" i="15"/>
  <c r="I12" i="15"/>
  <c r="L14" i="15"/>
  <c r="L13" i="15"/>
  <c r="L12" i="15"/>
  <c r="C8" i="16"/>
  <c r="C6" i="16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I9" i="7"/>
  <c r="J9" i="7"/>
  <c r="K9" i="7"/>
  <c r="L9" i="7"/>
  <c r="M9" i="7"/>
  <c r="N9" i="7"/>
  <c r="O9" i="7"/>
  <c r="P9" i="7"/>
  <c r="Q9" i="7"/>
  <c r="R9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O14" i="7" s="1"/>
  <c r="O16" i="7" s="1"/>
  <c r="P12" i="7"/>
  <c r="Q12" i="7"/>
  <c r="Q14" i="7" s="1"/>
  <c r="Q16" i="7" s="1"/>
  <c r="R12" i="7"/>
  <c r="I10" i="7"/>
  <c r="J10" i="7"/>
  <c r="K10" i="7"/>
  <c r="L10" i="7"/>
  <c r="M10" i="7"/>
  <c r="N10" i="7"/>
  <c r="O10" i="7"/>
  <c r="P10" i="7"/>
  <c r="Q10" i="7"/>
  <c r="R10" i="7"/>
  <c r="I11" i="7"/>
  <c r="J11" i="7"/>
  <c r="K11" i="7"/>
  <c r="L11" i="7"/>
  <c r="M11" i="7"/>
  <c r="N11" i="7"/>
  <c r="O11" i="7"/>
  <c r="P11" i="7"/>
  <c r="Q11" i="7"/>
  <c r="P14" i="7" l="1"/>
  <c r="P16" i="7" s="1"/>
  <c r="R14" i="7"/>
  <c r="R16" i="7" s="1"/>
  <c r="M14" i="7"/>
  <c r="M16" i="7" s="1"/>
  <c r="N14" i="7"/>
  <c r="N16" i="7" s="1"/>
  <c r="H14" i="7"/>
  <c r="G14" i="7"/>
  <c r="I14" i="7"/>
  <c r="E14" i="7"/>
  <c r="E16" i="7" s="1"/>
  <c r="E20" i="7" s="1"/>
  <c r="F14" i="7"/>
  <c r="F16" i="7" s="1"/>
  <c r="F20" i="7" s="1"/>
  <c r="D14" i="7"/>
  <c r="D16" i="7" s="1"/>
  <c r="D20" i="7" s="1"/>
  <c r="C14" i="7"/>
  <c r="C16" i="7" s="1"/>
  <c r="C20" i="7" s="1"/>
  <c r="J14" i="7"/>
  <c r="L14" i="7"/>
  <c r="K14" i="7"/>
  <c r="M48" i="19"/>
  <c r="L6" i="18"/>
  <c r="L32" i="18" s="1"/>
  <c r="S12" i="7"/>
  <c r="U12" i="7"/>
  <c r="S13" i="7"/>
  <c r="U13" i="7"/>
  <c r="V13" i="7"/>
  <c r="T13" i="7"/>
  <c r="V12" i="7"/>
  <c r="T12" i="7"/>
  <c r="L7" i="15"/>
  <c r="L31" i="14"/>
  <c r="L47" i="12"/>
  <c r="L48" i="12"/>
  <c r="L49" i="12"/>
  <c r="L50" i="12"/>
  <c r="L51" i="12"/>
  <c r="E40" i="17"/>
  <c r="E41" i="17" s="1"/>
  <c r="G36" i="17"/>
  <c r="G35" i="17"/>
  <c r="G28" i="17"/>
  <c r="I28" i="17" s="1"/>
  <c r="J8" i="17"/>
  <c r="Q8" i="17" s="1"/>
  <c r="O7" i="17"/>
  <c r="J7" i="17"/>
  <c r="O6" i="17"/>
  <c r="J6" i="17"/>
  <c r="O5" i="17"/>
  <c r="J5" i="17"/>
  <c r="M4" i="17"/>
  <c r="O4" i="17" s="1"/>
  <c r="J4" i="17"/>
  <c r="M3" i="17"/>
  <c r="O3" i="17" s="1"/>
  <c r="Q3" i="17" s="1"/>
  <c r="F8" i="1"/>
  <c r="N8" i="1"/>
  <c r="AF8" i="1"/>
  <c r="AJ8" i="1"/>
  <c r="AR8" i="1"/>
  <c r="AT8" i="1"/>
  <c r="AX8" i="1"/>
  <c r="I8" i="1" s="1"/>
  <c r="U25" i="1"/>
  <c r="V25" i="1"/>
  <c r="W25" i="1"/>
  <c r="U23" i="1"/>
  <c r="V23" i="1"/>
  <c r="W23" i="1"/>
  <c r="D4" i="16"/>
  <c r="D2" i="16"/>
  <c r="L46" i="12"/>
  <c r="H9" i="12"/>
  <c r="J9" i="12" s="1"/>
  <c r="L42" i="12"/>
  <c r="L36" i="12"/>
  <c r="L44" i="12"/>
  <c r="L45" i="12"/>
  <c r="L40" i="12"/>
  <c r="L41" i="12"/>
  <c r="L43" i="12"/>
  <c r="H8" i="12"/>
  <c r="J8" i="12" s="1"/>
  <c r="L39" i="12"/>
  <c r="L52" i="11"/>
  <c r="G58" i="11"/>
  <c r="G59" i="11"/>
  <c r="G60" i="11"/>
  <c r="D85" i="9"/>
  <c r="I9" i="15"/>
  <c r="L9" i="15" s="1"/>
  <c r="I8" i="15"/>
  <c r="L8" i="15" s="1"/>
  <c r="I6" i="15"/>
  <c r="L6" i="15" s="1"/>
  <c r="I5" i="15"/>
  <c r="L5" i="15" s="1"/>
  <c r="I4" i="15"/>
  <c r="L4" i="15" s="1"/>
  <c r="I3" i="15"/>
  <c r="L3" i="15" s="1"/>
  <c r="I27" i="14"/>
  <c r="L27" i="14" s="1"/>
  <c r="I25" i="14"/>
  <c r="L25" i="14" s="1"/>
  <c r="I24" i="14"/>
  <c r="L24" i="14" s="1"/>
  <c r="I23" i="14"/>
  <c r="L23" i="14" s="1"/>
  <c r="I22" i="14"/>
  <c r="L22" i="14" s="1"/>
  <c r="I20" i="14"/>
  <c r="L20" i="14" s="1"/>
  <c r="I21" i="14"/>
  <c r="L21" i="14" s="1"/>
  <c r="L16" i="14"/>
  <c r="I3" i="14"/>
  <c r="L3" i="14" s="1"/>
  <c r="O3" i="14"/>
  <c r="O3" i="8"/>
  <c r="L3" i="8"/>
  <c r="Q3" i="8" s="1"/>
  <c r="I3" i="8"/>
  <c r="G16" i="7" l="1"/>
  <c r="G20" i="7" s="1"/>
  <c r="J16" i="7"/>
  <c r="J20" i="7" s="1"/>
  <c r="I16" i="7"/>
  <c r="I20" i="7" s="1"/>
  <c r="K16" i="7"/>
  <c r="K20" i="7" s="1"/>
  <c r="L16" i="7"/>
  <c r="L20" i="7" s="1"/>
  <c r="H16" i="7"/>
  <c r="H20" i="7" s="1"/>
  <c r="P8" i="1"/>
  <c r="AV8" i="1"/>
  <c r="O8" i="1"/>
  <c r="J15" i="17"/>
  <c r="AE8" i="1"/>
  <c r="V8" i="1"/>
  <c r="AL8" i="1"/>
  <c r="W8" i="1"/>
  <c r="G8" i="1"/>
  <c r="AU8" i="1"/>
  <c r="AI8" i="1"/>
  <c r="S8" i="1"/>
  <c r="AQ8" i="1"/>
  <c r="AD8" i="1"/>
  <c r="AN8" i="1"/>
  <c r="AA8" i="1"/>
  <c r="K8" i="1"/>
  <c r="AM8" i="1"/>
  <c r="X8" i="1"/>
  <c r="H8" i="1"/>
  <c r="Q6" i="17"/>
  <c r="G37" i="17"/>
  <c r="Q7" i="17"/>
  <c r="L23" i="17"/>
  <c r="Q5" i="17"/>
  <c r="V14" i="7"/>
  <c r="B8" i="16" s="1"/>
  <c r="T14" i="7"/>
  <c r="B4" i="16" s="1"/>
  <c r="U14" i="7"/>
  <c r="B6" i="16" s="1"/>
  <c r="S14" i="7"/>
  <c r="B2" i="16" s="1"/>
  <c r="AS8" i="1"/>
  <c r="AK8" i="1"/>
  <c r="AC8" i="1"/>
  <c r="U8" i="1"/>
  <c r="M8" i="1"/>
  <c r="E8" i="1"/>
  <c r="AB8" i="1"/>
  <c r="T8" i="1"/>
  <c r="L8" i="1"/>
  <c r="D8" i="1"/>
  <c r="C8" i="1"/>
  <c r="AP8" i="1"/>
  <c r="AH8" i="1"/>
  <c r="Z8" i="1"/>
  <c r="R8" i="1"/>
  <c r="J8" i="1"/>
  <c r="AW8" i="1"/>
  <c r="AO8" i="1"/>
  <c r="AG8" i="1"/>
  <c r="Y8" i="1"/>
  <c r="Q8" i="1"/>
  <c r="Q4" i="17"/>
  <c r="I30" i="17"/>
  <c r="K28" i="17"/>
  <c r="K30" i="17" s="1"/>
  <c r="O15" i="17"/>
  <c r="L10" i="15"/>
  <c r="L28" i="14"/>
  <c r="Q3" i="14"/>
  <c r="Q15" i="17" l="1"/>
  <c r="K31" i="17"/>
  <c r="D43" i="17" s="1"/>
  <c r="D8" i="16" s="1"/>
  <c r="E8" i="16" s="1"/>
  <c r="I31" i="17"/>
  <c r="I9" i="14"/>
  <c r="L9" i="14" s="1"/>
  <c r="I10" i="14"/>
  <c r="J10" i="14" s="1"/>
  <c r="L10" i="14" s="1"/>
  <c r="I8" i="14"/>
  <c r="L8" i="14" s="1"/>
  <c r="I7" i="14"/>
  <c r="L7" i="14" s="1"/>
  <c r="I6" i="14"/>
  <c r="L6" i="14" s="1"/>
  <c r="I5" i="14"/>
  <c r="L5" i="14" s="1"/>
  <c r="I4" i="14"/>
  <c r="L4" i="14" s="1"/>
  <c r="Q4" i="14" s="1"/>
  <c r="I2" i="14"/>
  <c r="L2" i="14" s="1"/>
  <c r="O9" i="14"/>
  <c r="O15" i="14"/>
  <c r="Q15" i="14" s="1"/>
  <c r="O14" i="14"/>
  <c r="Q14" i="14" s="1"/>
  <c r="O13" i="14"/>
  <c r="Q13" i="14" s="1"/>
  <c r="O12" i="14"/>
  <c r="Q12" i="14" s="1"/>
  <c r="O10" i="14"/>
  <c r="O8" i="14"/>
  <c r="O7" i="14"/>
  <c r="O6" i="14"/>
  <c r="O5" i="14"/>
  <c r="O4" i="14"/>
  <c r="O2" i="14"/>
  <c r="L55" i="9"/>
  <c r="L54" i="9"/>
  <c r="E76" i="9"/>
  <c r="C9" i="16" l="1"/>
  <c r="B9" i="16"/>
  <c r="Q2" i="14"/>
  <c r="Q5" i="14"/>
  <c r="Q6" i="14"/>
  <c r="Q10" i="14"/>
  <c r="Q7" i="14"/>
  <c r="Q9" i="14"/>
  <c r="Q8" i="14"/>
  <c r="Q9" i="9"/>
  <c r="J9" i="9"/>
  <c r="H9" i="9"/>
  <c r="J19" i="9"/>
  <c r="Q19" i="9" s="1"/>
  <c r="H19" i="9"/>
  <c r="H3" i="11"/>
  <c r="J3" i="11" s="1"/>
  <c r="H5" i="11"/>
  <c r="J5" i="11" s="1"/>
  <c r="O5" i="11"/>
  <c r="O6" i="11"/>
  <c r="H6" i="11"/>
  <c r="J6" i="11" s="1"/>
  <c r="H7" i="11"/>
  <c r="H8" i="11"/>
  <c r="J8" i="11" s="1"/>
  <c r="H9" i="11"/>
  <c r="O7" i="11"/>
  <c r="J7" i="11"/>
  <c r="Q7" i="11" l="1"/>
  <c r="Q6" i="11"/>
  <c r="Q5" i="11"/>
  <c r="L45" i="11" l="1"/>
  <c r="L46" i="11"/>
  <c r="L38" i="12" l="1"/>
  <c r="L37" i="12"/>
  <c r="G59" i="12" l="1"/>
  <c r="I59" i="12" s="1"/>
  <c r="I59" i="11"/>
  <c r="K59" i="11" s="1"/>
  <c r="I60" i="11"/>
  <c r="K60" i="11" s="1"/>
  <c r="G61" i="11"/>
  <c r="I61" i="11" s="1"/>
  <c r="K61" i="11" s="1"/>
  <c r="I58" i="11"/>
  <c r="F58" i="9"/>
  <c r="G58" i="9" s="1"/>
  <c r="I58" i="9" s="1"/>
  <c r="K58" i="9" s="1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22" i="12"/>
  <c r="L36" i="11"/>
  <c r="L37" i="11"/>
  <c r="L38" i="11"/>
  <c r="L39" i="11"/>
  <c r="L40" i="11"/>
  <c r="L41" i="11"/>
  <c r="L42" i="11"/>
  <c r="L43" i="11"/>
  <c r="L44" i="11"/>
  <c r="L47" i="11"/>
  <c r="L48" i="11"/>
  <c r="L49" i="11"/>
  <c r="L50" i="11"/>
  <c r="L51" i="11"/>
  <c r="L35" i="11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32" i="9"/>
  <c r="J16" i="9"/>
  <c r="J17" i="9"/>
  <c r="G5" i="9"/>
  <c r="H5" i="9" s="1"/>
  <c r="J5" i="9" s="1"/>
  <c r="G4" i="9"/>
  <c r="H4" i="9" s="1"/>
  <c r="J4" i="9" s="1"/>
  <c r="G3" i="9"/>
  <c r="H3" i="9" s="1"/>
  <c r="G61" i="9"/>
  <c r="I61" i="9" s="1"/>
  <c r="K61" i="9" s="1"/>
  <c r="G62" i="9"/>
  <c r="I62" i="9" s="1"/>
  <c r="K62" i="9" s="1"/>
  <c r="G63" i="9"/>
  <c r="I63" i="9" s="1"/>
  <c r="K63" i="9" s="1"/>
  <c r="G64" i="9"/>
  <c r="I64" i="9" s="1"/>
  <c r="K64" i="9" s="1"/>
  <c r="H15" i="9"/>
  <c r="J15" i="9" s="1"/>
  <c r="H16" i="9"/>
  <c r="H17" i="9"/>
  <c r="H18" i="9"/>
  <c r="J18" i="9" s="1"/>
  <c r="H20" i="9"/>
  <c r="J20" i="9" s="1"/>
  <c r="Q20" i="9" s="1"/>
  <c r="H21" i="9"/>
  <c r="J21" i="9" s="1"/>
  <c r="Q21" i="9" s="1"/>
  <c r="H22" i="9"/>
  <c r="J22" i="9" s="1"/>
  <c r="H23" i="9"/>
  <c r="J23" i="9" s="1"/>
  <c r="H24" i="9"/>
  <c r="J24" i="9" s="1"/>
  <c r="H25" i="9"/>
  <c r="J25" i="9" s="1"/>
  <c r="H8" i="9"/>
  <c r="J8" i="9" s="1"/>
  <c r="H7" i="9"/>
  <c r="J7" i="9" s="1"/>
  <c r="H6" i="9"/>
  <c r="J6" i="9" s="1"/>
  <c r="E71" i="12"/>
  <c r="E72" i="12" s="1"/>
  <c r="G67" i="12"/>
  <c r="G66" i="12"/>
  <c r="O5" i="12"/>
  <c r="O6" i="12"/>
  <c r="O7" i="12"/>
  <c r="M3" i="12"/>
  <c r="H4" i="12"/>
  <c r="J4" i="12" s="1"/>
  <c r="H5" i="12"/>
  <c r="J5" i="12" s="1"/>
  <c r="H6" i="12"/>
  <c r="J6" i="12" s="1"/>
  <c r="H7" i="12"/>
  <c r="J7" i="12" s="1"/>
  <c r="G69" i="11"/>
  <c r="G68" i="11"/>
  <c r="G70" i="11" s="1"/>
  <c r="G74" i="9"/>
  <c r="G73" i="9"/>
  <c r="E80" i="9"/>
  <c r="E81" i="9" s="1"/>
  <c r="E73" i="11"/>
  <c r="E74" i="11" s="1"/>
  <c r="H16" i="11"/>
  <c r="J16" i="11" s="1"/>
  <c r="H17" i="11"/>
  <c r="J17" i="11" s="1"/>
  <c r="H18" i="11"/>
  <c r="J18" i="11" s="1"/>
  <c r="H19" i="11"/>
  <c r="J19" i="11" s="1"/>
  <c r="H20" i="11"/>
  <c r="J20" i="11" s="1"/>
  <c r="H21" i="11"/>
  <c r="J21" i="11" s="1"/>
  <c r="H22" i="11"/>
  <c r="J22" i="11" s="1"/>
  <c r="H23" i="11"/>
  <c r="J23" i="11" s="1"/>
  <c r="H24" i="11"/>
  <c r="J24" i="11" s="1"/>
  <c r="H25" i="11"/>
  <c r="H26" i="11"/>
  <c r="J26" i="11" s="1"/>
  <c r="H27" i="11"/>
  <c r="J27" i="11" s="1"/>
  <c r="Q27" i="11" s="1"/>
  <c r="H28" i="11"/>
  <c r="J28" i="11" s="1"/>
  <c r="Q28" i="11" s="1"/>
  <c r="H29" i="11"/>
  <c r="J29" i="11" s="1"/>
  <c r="Q29" i="11" s="1"/>
  <c r="G67" i="9"/>
  <c r="I67" i="9" s="1"/>
  <c r="K67" i="9" s="1"/>
  <c r="G66" i="9"/>
  <c r="I66" i="9" s="1"/>
  <c r="K66" i="9" s="1"/>
  <c r="G65" i="9"/>
  <c r="I65" i="9" s="1"/>
  <c r="K65" i="9" s="1"/>
  <c r="G60" i="9"/>
  <c r="I60" i="9" s="1"/>
  <c r="K60" i="9" s="1"/>
  <c r="G59" i="9"/>
  <c r="I59" i="9" s="1"/>
  <c r="K59" i="9" s="1"/>
  <c r="M25" i="11"/>
  <c r="O25" i="11" s="1"/>
  <c r="M24" i="11"/>
  <c r="O24" i="11" s="1"/>
  <c r="M23" i="11"/>
  <c r="O23" i="11" s="1"/>
  <c r="M22" i="11"/>
  <c r="O22" i="11" s="1"/>
  <c r="M21" i="11"/>
  <c r="O21" i="11" s="1"/>
  <c r="M20" i="11"/>
  <c r="O20" i="11" s="1"/>
  <c r="M19" i="11"/>
  <c r="O19" i="11" s="1"/>
  <c r="M18" i="11"/>
  <c r="O18" i="11" s="1"/>
  <c r="M17" i="11"/>
  <c r="O17" i="11" s="1"/>
  <c r="L16" i="11"/>
  <c r="M16" i="11" s="1"/>
  <c r="O16" i="11" s="1"/>
  <c r="L9" i="11"/>
  <c r="L10" i="11"/>
  <c r="L11" i="11"/>
  <c r="L12" i="11"/>
  <c r="L13" i="11"/>
  <c r="L14" i="11"/>
  <c r="L15" i="11"/>
  <c r="L8" i="11"/>
  <c r="L11" i="9"/>
  <c r="L12" i="9"/>
  <c r="L10" i="9"/>
  <c r="M4" i="12"/>
  <c r="O4" i="12" s="1"/>
  <c r="L54" i="12" l="1"/>
  <c r="J3" i="9"/>
  <c r="Q3" i="9" s="1"/>
  <c r="Q7" i="9"/>
  <c r="Q6" i="9"/>
  <c r="Q24" i="9"/>
  <c r="I63" i="11"/>
  <c r="K58" i="11"/>
  <c r="K63" i="11" s="1"/>
  <c r="Q26" i="11"/>
  <c r="Q19" i="11"/>
  <c r="J25" i="11"/>
  <c r="Q25" i="11" s="1"/>
  <c r="Q21" i="11"/>
  <c r="Q17" i="11"/>
  <c r="I61" i="12"/>
  <c r="K59" i="12"/>
  <c r="K61" i="12" s="1"/>
  <c r="G68" i="12"/>
  <c r="Q20" i="11"/>
  <c r="Q23" i="9"/>
  <c r="Q22" i="9"/>
  <c r="Q4" i="9"/>
  <c r="Q8" i="9"/>
  <c r="Q5" i="9"/>
  <c r="Q25" i="9"/>
  <c r="F68" i="9"/>
  <c r="K68" i="9"/>
  <c r="G75" i="9"/>
  <c r="I68" i="9"/>
  <c r="Q23" i="11"/>
  <c r="Q16" i="11"/>
  <c r="Q24" i="11"/>
  <c r="Q18" i="11"/>
  <c r="Q22" i="11"/>
  <c r="X25" i="1"/>
  <c r="Y25" i="1"/>
  <c r="Z25" i="1"/>
  <c r="AA25" i="1"/>
  <c r="AB25" i="1"/>
  <c r="X23" i="1"/>
  <c r="Y23" i="1"/>
  <c r="Z23" i="1"/>
  <c r="AA23" i="1"/>
  <c r="AB23" i="1"/>
  <c r="I17" i="8" l="1"/>
  <c r="J17" i="8" s="1"/>
  <c r="L17" i="8" s="1"/>
  <c r="I19" i="8"/>
  <c r="J19" i="8" s="1"/>
  <c r="L19" i="8" s="1"/>
  <c r="I18" i="8"/>
  <c r="J18" i="8" s="1"/>
  <c r="L18" i="8" s="1"/>
  <c r="I16" i="8"/>
  <c r="L16" i="8" s="1"/>
  <c r="I11" i="8"/>
  <c r="L11" i="8" s="1"/>
  <c r="I9" i="8"/>
  <c r="L9" i="8" s="1"/>
  <c r="I8" i="8"/>
  <c r="L8" i="8" s="1"/>
  <c r="I7" i="8"/>
  <c r="L7" i="8" s="1"/>
  <c r="I5" i="8"/>
  <c r="L5" i="8" s="1"/>
  <c r="O22" i="8"/>
  <c r="Q22" i="8" s="1"/>
  <c r="O23" i="8"/>
  <c r="Q23" i="8" s="1"/>
  <c r="O24" i="8"/>
  <c r="Q24" i="8" s="1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Q20" i="8" s="1"/>
  <c r="O21" i="8"/>
  <c r="Q21" i="8" s="1"/>
  <c r="O25" i="8"/>
  <c r="Q25" i="8" s="1"/>
  <c r="O26" i="8"/>
  <c r="Q26" i="8" s="1"/>
  <c r="O4" i="8"/>
  <c r="O2" i="8"/>
  <c r="Q19" i="8" l="1"/>
  <c r="Q18" i="8"/>
  <c r="Q17" i="8"/>
  <c r="Q7" i="8"/>
  <c r="Q8" i="8"/>
  <c r="Q9" i="8"/>
  <c r="Q11" i="8"/>
  <c r="Q16" i="8"/>
  <c r="Q5" i="8"/>
  <c r="Q18" i="9"/>
  <c r="Q17" i="9"/>
  <c r="Q15" i="9"/>
  <c r="Q16" i="9"/>
  <c r="H14" i="9"/>
  <c r="M12" i="9"/>
  <c r="O12" i="9" s="1"/>
  <c r="G12" i="9"/>
  <c r="H12" i="9" s="1"/>
  <c r="J12" i="9" s="1"/>
  <c r="Q7" i="12"/>
  <c r="Q6" i="12"/>
  <c r="Q4" i="12"/>
  <c r="O3" i="12"/>
  <c r="O15" i="12" s="1"/>
  <c r="K62" i="12" s="1"/>
  <c r="H3" i="12"/>
  <c r="H4" i="11"/>
  <c r="J4" i="11" s="1"/>
  <c r="M11" i="9"/>
  <c r="O11" i="9" s="1"/>
  <c r="M10" i="9"/>
  <c r="I62" i="12" l="1"/>
  <c r="O10" i="9"/>
  <c r="M27" i="9"/>
  <c r="J14" i="9"/>
  <c r="Q14" i="9" s="1"/>
  <c r="J3" i="12"/>
  <c r="J15" i="12" s="1"/>
  <c r="O26" i="9"/>
  <c r="K69" i="9" s="1"/>
  <c r="Q12" i="9"/>
  <c r="L54" i="11"/>
  <c r="Q5" i="12"/>
  <c r="D6" i="16" l="1"/>
  <c r="Q3" i="12"/>
  <c r="Q15" i="12" s="1"/>
  <c r="M15" i="11"/>
  <c r="O15" i="11" s="1"/>
  <c r="H15" i="11"/>
  <c r="J15" i="11" s="1"/>
  <c r="M14" i="11"/>
  <c r="O14" i="11" s="1"/>
  <c r="H14" i="11"/>
  <c r="J14" i="11" s="1"/>
  <c r="M13" i="11"/>
  <c r="O13" i="11" s="1"/>
  <c r="H13" i="11"/>
  <c r="J13" i="11" s="1"/>
  <c r="M12" i="11"/>
  <c r="O12" i="11" s="1"/>
  <c r="H12" i="11"/>
  <c r="J12" i="11" s="1"/>
  <c r="M11" i="11"/>
  <c r="O11" i="11" s="1"/>
  <c r="H11" i="11"/>
  <c r="J11" i="11" s="1"/>
  <c r="M10" i="11"/>
  <c r="O10" i="11" s="1"/>
  <c r="H10" i="11"/>
  <c r="J10" i="11" s="1"/>
  <c r="M9" i="11"/>
  <c r="O9" i="11" s="1"/>
  <c r="M8" i="11"/>
  <c r="O8" i="11" s="1"/>
  <c r="Q8" i="11" s="1"/>
  <c r="J9" i="11"/>
  <c r="O4" i="11"/>
  <c r="Q4" i="11" s="1"/>
  <c r="G10" i="9"/>
  <c r="H10" i="9" s="1"/>
  <c r="G11" i="9"/>
  <c r="H11" i="9" s="1"/>
  <c r="H13" i="9"/>
  <c r="I15" i="8"/>
  <c r="L15" i="8" s="1"/>
  <c r="Q15" i="8" s="1"/>
  <c r="I13" i="8"/>
  <c r="L13" i="8" s="1"/>
  <c r="Q13" i="8" s="1"/>
  <c r="I14" i="8"/>
  <c r="L14" i="8" s="1"/>
  <c r="Q14" i="8" s="1"/>
  <c r="I12" i="8"/>
  <c r="L12" i="8" s="1"/>
  <c r="Q12" i="8" s="1"/>
  <c r="I10" i="8"/>
  <c r="L10" i="8" s="1"/>
  <c r="Q10" i="8" s="1"/>
  <c r="I6" i="8"/>
  <c r="L6" i="8" s="1"/>
  <c r="Q6" i="8" s="1"/>
  <c r="I4" i="8"/>
  <c r="L4" i="8" s="1"/>
  <c r="Q4" i="8" s="1"/>
  <c r="I2" i="8"/>
  <c r="L2" i="8" s="1"/>
  <c r="O28" i="8"/>
  <c r="AC25" i="1"/>
  <c r="AD25" i="1"/>
  <c r="AE25" i="1"/>
  <c r="AC23" i="1"/>
  <c r="AD23" i="1"/>
  <c r="AE23" i="1"/>
  <c r="AV25" i="1"/>
  <c r="AW25" i="1"/>
  <c r="AX25" i="1"/>
  <c r="AV23" i="1"/>
  <c r="AW23" i="1"/>
  <c r="AX23" i="1"/>
  <c r="AV15" i="1"/>
  <c r="AV19" i="1" s="1"/>
  <c r="AW15" i="1"/>
  <c r="AW19" i="1" s="1"/>
  <c r="AX15" i="1"/>
  <c r="AX19" i="1" s="1"/>
  <c r="AV11" i="1"/>
  <c r="R11" i="7" s="1"/>
  <c r="AF25" i="1"/>
  <c r="AF23" i="1"/>
  <c r="AG25" i="1"/>
  <c r="AG23" i="1"/>
  <c r="AG15" i="1"/>
  <c r="AG19" i="1" s="1"/>
  <c r="AH15" i="1"/>
  <c r="AH19" i="1" s="1"/>
  <c r="AI15" i="1"/>
  <c r="AH25" i="1"/>
  <c r="AH23" i="1"/>
  <c r="AI25" i="1"/>
  <c r="AI23" i="1"/>
  <c r="AJ25" i="1"/>
  <c r="AJ23" i="1"/>
  <c r="AJ15" i="1"/>
  <c r="AJ19" i="1" s="1"/>
  <c r="AK16" i="1"/>
  <c r="AL16" i="1"/>
  <c r="AM16" i="1"/>
  <c r="AN16" i="1"/>
  <c r="AO16" i="1"/>
  <c r="AP16" i="1"/>
  <c r="AQ16" i="1"/>
  <c r="AR16" i="1"/>
  <c r="AS16" i="1"/>
  <c r="AT16" i="1"/>
  <c r="AU16" i="1"/>
  <c r="AP25" i="1"/>
  <c r="AO25" i="1"/>
  <c r="AN25" i="1"/>
  <c r="AM25" i="1"/>
  <c r="AL25" i="1"/>
  <c r="AK25" i="1"/>
  <c r="AP23" i="1"/>
  <c r="AO23" i="1"/>
  <c r="AN23" i="1"/>
  <c r="AM23" i="1"/>
  <c r="AL23" i="1"/>
  <c r="AK23" i="1"/>
  <c r="E6" i="16" l="1"/>
  <c r="D7" i="16" s="1"/>
  <c r="S15" i="7"/>
  <c r="C2" i="16" s="1"/>
  <c r="E2" i="16" s="1"/>
  <c r="T15" i="7"/>
  <c r="C4" i="16" s="1"/>
  <c r="E4" i="16" s="1"/>
  <c r="Q9" i="11"/>
  <c r="J30" i="11"/>
  <c r="J10" i="9"/>
  <c r="H27" i="9"/>
  <c r="J13" i="9"/>
  <c r="Q13" i="9" s="1"/>
  <c r="J11" i="9"/>
  <c r="Q11" i="9" s="1"/>
  <c r="Q11" i="11"/>
  <c r="Q13" i="11"/>
  <c r="R20" i="7"/>
  <c r="Q2" i="8"/>
  <c r="Q28" i="8" s="1"/>
  <c r="L28" i="8"/>
  <c r="Q12" i="11"/>
  <c r="O30" i="11"/>
  <c r="Q10" i="11"/>
  <c r="Q14" i="11"/>
  <c r="Q15" i="11"/>
  <c r="AI19" i="1"/>
  <c r="AL15" i="1"/>
  <c r="AL19" i="1" s="1"/>
  <c r="AK15" i="1"/>
  <c r="AK19" i="1" s="1"/>
  <c r="E20" i="16" l="1"/>
  <c r="C7" i="16"/>
  <c r="B7" i="16"/>
  <c r="D9" i="16"/>
  <c r="D5" i="16"/>
  <c r="M20" i="7"/>
  <c r="K64" i="11"/>
  <c r="I64" i="11"/>
  <c r="J26" i="9"/>
  <c r="Q26" i="9"/>
  <c r="Q30" i="11"/>
  <c r="AQ25" i="1"/>
  <c r="AQ23" i="1"/>
  <c r="N20" i="7" l="1"/>
  <c r="D3" i="16"/>
  <c r="D20" i="16" s="1"/>
  <c r="C5" i="16"/>
  <c r="B3" i="16"/>
  <c r="C3" i="16"/>
  <c r="B5" i="16"/>
  <c r="T16" i="7"/>
  <c r="AR25" i="1"/>
  <c r="AR23" i="1"/>
  <c r="AT25" i="1"/>
  <c r="AS25" i="1"/>
  <c r="AT23" i="1"/>
  <c r="AS23" i="1"/>
  <c r="AU23" i="1"/>
  <c r="AU25" i="1"/>
  <c r="AT15" i="1"/>
  <c r="AT19" i="1" s="1"/>
  <c r="AS15" i="1"/>
  <c r="AR15" i="1"/>
  <c r="AR19" i="1" s="1"/>
  <c r="AQ15" i="1"/>
  <c r="AQ19" i="1" s="1"/>
  <c r="AP15" i="1"/>
  <c r="AO15" i="1"/>
  <c r="AO19" i="1" s="1"/>
  <c r="AN15" i="1"/>
  <c r="AN19" i="1" s="1"/>
  <c r="AM15" i="1"/>
  <c r="AU15" i="1"/>
  <c r="AU19" i="1" s="1"/>
  <c r="C20" i="16" l="1"/>
  <c r="B20" i="16"/>
  <c r="AP19" i="1"/>
  <c r="P20" i="7"/>
  <c r="AM19" i="1"/>
  <c r="AS19" i="1"/>
  <c r="Q20" i="7"/>
  <c r="G68" i="9"/>
  <c r="G69" i="9" s="1"/>
  <c r="J55" i="9"/>
  <c r="O20" i="7" l="1"/>
  <c r="S1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tc={352B9D8B-A54A-40F7-8C1A-50D829C1AF01}</author>
    <author>tc={9124EC09-D75A-422C-84FD-BB12BB5253BD}</author>
  </authors>
  <commentList>
    <comment ref="AX29" authorId="0" shapeId="0" xr:uid="{352B9D8B-A54A-40F7-8C1A-50D829C1AF01}">
      <text>
        <t>[Threaded comment]
Your version of Excel allows you to read this threaded comment; however, any edits to it will get removed if the file is opened in a newer version of Excel. Learn more: https://go.microsoft.com/fwlink/?linkid=870924
Comment:
    Zero waste as we went back to WFH in Jan '22 - COVID related</t>
      </text>
    </comment>
    <comment ref="AH30" authorId="1" shapeId="0" xr:uid="{9124EC09-D75A-422C-84FD-BB12BB5253BD}">
      <text>
        <t>[Threaded comment]
Your version of Excel allows you to read this threaded comment; however, any edits to it will get removed if the file is opened in a newer version of Excel. Learn more: https://go.microsoft.com/fwlink/?linkid=870924
Comment:
    Clearing out office</t>
      </text>
    </comment>
  </commentList>
</comments>
</file>

<file path=xl/sharedStrings.xml><?xml version="1.0" encoding="utf-8"?>
<sst xmlns="http://schemas.openxmlformats.org/spreadsheetml/2006/main" count="1803" uniqueCount="417">
  <si>
    <t>Year</t>
  </si>
  <si>
    <t>Scope 1 KG of CO2</t>
  </si>
  <si>
    <t>Scope 2 KG of CO2</t>
  </si>
  <si>
    <t>Scope 3 KG of CO2</t>
  </si>
  <si>
    <t>Total KG of CO2</t>
  </si>
  <si>
    <t>Total</t>
  </si>
  <si>
    <t>Unit of Measurment</t>
  </si>
  <si>
    <t>Q4/2025</t>
  </si>
  <si>
    <t>Q3/2025</t>
  </si>
  <si>
    <t>Q2/2025</t>
  </si>
  <si>
    <t>Q1/2025</t>
  </si>
  <si>
    <t>Q4/2024</t>
  </si>
  <si>
    <t>Q3/2024</t>
  </si>
  <si>
    <t>Q2/2024</t>
  </si>
  <si>
    <t>Q1/2024</t>
  </si>
  <si>
    <t>Q4/2023</t>
  </si>
  <si>
    <t>Q3 2023</t>
  </si>
  <si>
    <t>Q2 2023</t>
  </si>
  <si>
    <t>Q1 2023</t>
  </si>
  <si>
    <t>Q4 2022</t>
  </si>
  <si>
    <t>Q3 2022</t>
  </si>
  <si>
    <t>Q2 2022</t>
  </si>
  <si>
    <t>Q1 2022</t>
  </si>
  <si>
    <t>Totals for 2022</t>
  </si>
  <si>
    <t>Totals for 2023</t>
  </si>
  <si>
    <t>Totals for 2024</t>
  </si>
  <si>
    <t>Totals for 2025</t>
  </si>
  <si>
    <t>% of energy on a green renewable tariff</t>
  </si>
  <si>
    <t>%</t>
  </si>
  <si>
    <t>n/a</t>
  </si>
  <si>
    <t>Approx Diesel consumption (Litres) 15th of month to 15th of following month</t>
  </si>
  <si>
    <t>Litres</t>
  </si>
  <si>
    <t>Electricty consumption (Kw) 15th of month to 15th of following month</t>
  </si>
  <si>
    <t>KW</t>
  </si>
  <si>
    <t>Diesel CO2 emissions (Scope 1)</t>
  </si>
  <si>
    <t>CO2e</t>
  </si>
  <si>
    <t>Petrol CO2 emissions (Scope 1)</t>
  </si>
  <si>
    <t>Total CO2 emissions (scope 1)</t>
  </si>
  <si>
    <t>Electricity CO2 emissions (scope 2)</t>
  </si>
  <si>
    <t>Total CO2 emissions (scope 1 and 2)</t>
  </si>
  <si>
    <t>Approx Electricty cost</t>
  </si>
  <si>
    <t>£</t>
  </si>
  <si>
    <t xml:space="preserve">Approx Oil cost </t>
  </si>
  <si>
    <t xml:space="preserve">No of employees  </t>
  </si>
  <si>
    <t>Number</t>
  </si>
  <si>
    <t>Carbon footprint per employee</t>
  </si>
  <si>
    <t>Total training hours</t>
  </si>
  <si>
    <t>Hours</t>
  </si>
  <si>
    <t>Number of staff identyfying as female</t>
  </si>
  <si>
    <t>Percentage of staff identifying as female</t>
  </si>
  <si>
    <t>Number of staff identifying as from an ethnic minority group</t>
  </si>
  <si>
    <t>Percentage identifying as from an ethnic minority group</t>
  </si>
  <si>
    <t>Number declaring they have a disability</t>
  </si>
  <si>
    <t>Percentage declaring they have a disability</t>
  </si>
  <si>
    <t>Waste weight *</t>
  </si>
  <si>
    <t>tonnes</t>
  </si>
  <si>
    <t>% of waste to landfill</t>
  </si>
  <si>
    <t>Measurement</t>
  </si>
  <si>
    <t>% of enery on a green renewable tariff</t>
  </si>
  <si>
    <t>Electricity CO2 emissions (Scope 2)</t>
  </si>
  <si>
    <t>Total CO2 emissions</t>
  </si>
  <si>
    <t>Waste weight tonnes</t>
  </si>
  <si>
    <t>Waste weight kg</t>
  </si>
  <si>
    <t>kg</t>
  </si>
  <si>
    <t>Waste was diverted to Rookery Incinerator</t>
  </si>
  <si>
    <t>Left the Office</t>
  </si>
  <si>
    <t>Train</t>
  </si>
  <si>
    <t>No of Travellers</t>
  </si>
  <si>
    <t>Date</t>
  </si>
  <si>
    <t xml:space="preserve">Name </t>
  </si>
  <si>
    <t>Method of commute</t>
  </si>
  <si>
    <t xml:space="preserve">Starting location </t>
  </si>
  <si>
    <t xml:space="preserve">End Destination </t>
  </si>
  <si>
    <t xml:space="preserve">Distance from RailMiles </t>
  </si>
  <si>
    <t xml:space="preserve">Conversion to KM </t>
  </si>
  <si>
    <t>Total kg of C02 per unit</t>
  </si>
  <si>
    <t>Total kg of C02</t>
  </si>
  <si>
    <t>Additional Transport</t>
  </si>
  <si>
    <t>Distance travelled in miles x no of passengers</t>
  </si>
  <si>
    <t xml:space="preserve">Coversion to KM </t>
  </si>
  <si>
    <t>OVERALL TOTAL KG OF CO2</t>
  </si>
  <si>
    <t>James</t>
  </si>
  <si>
    <t>Train - National Rail</t>
  </si>
  <si>
    <t>Hemel Hempstead</t>
  </si>
  <si>
    <t xml:space="preserve">Watford </t>
  </si>
  <si>
    <t>Watford</t>
  </si>
  <si>
    <t xml:space="preserve">Neil </t>
  </si>
  <si>
    <t>Apsley</t>
  </si>
  <si>
    <t xml:space="preserve">Ryan </t>
  </si>
  <si>
    <t>Train -National Rail</t>
  </si>
  <si>
    <t xml:space="preserve">Kings Langley </t>
  </si>
  <si>
    <t xml:space="preserve">Train - National Rail </t>
  </si>
  <si>
    <t xml:space="preserve">Watford  </t>
  </si>
  <si>
    <t xml:space="preserve">Peter </t>
  </si>
  <si>
    <t>Underground</t>
  </si>
  <si>
    <t xml:space="preserve">Northwood </t>
  </si>
  <si>
    <t xml:space="preserve">Chalk Farm </t>
  </si>
  <si>
    <t>Coventry</t>
  </si>
  <si>
    <t>Watford Junction</t>
  </si>
  <si>
    <t xml:space="preserve">Taxi </t>
  </si>
  <si>
    <t xml:space="preserve">Watford Junction </t>
  </si>
  <si>
    <t xml:space="preserve">Coventry </t>
  </si>
  <si>
    <t>Tiff</t>
  </si>
  <si>
    <t>St Albans</t>
  </si>
  <si>
    <t>Marylebone Road</t>
  </si>
  <si>
    <t xml:space="preserve"> </t>
  </si>
  <si>
    <t>Mike</t>
  </si>
  <si>
    <t>Uxbridge</t>
  </si>
  <si>
    <t>Baker St</t>
  </si>
  <si>
    <t>Marylebone</t>
  </si>
  <si>
    <t>Denham</t>
  </si>
  <si>
    <t xml:space="preserve">Liverpool street </t>
  </si>
  <si>
    <t xml:space="preserve">Apsley </t>
  </si>
  <si>
    <t>Train  - National Rail</t>
  </si>
  <si>
    <t xml:space="preserve">St Albans </t>
  </si>
  <si>
    <t xml:space="preserve">May </t>
  </si>
  <si>
    <t>London Underground</t>
  </si>
  <si>
    <t xml:space="preserve">£50 oyster top up </t>
  </si>
  <si>
    <t>Nov</t>
  </si>
  <si>
    <t>£60 oyster top up</t>
  </si>
  <si>
    <t>Driving</t>
  </si>
  <si>
    <t xml:space="preserve">No of travellers </t>
  </si>
  <si>
    <t>Name</t>
  </si>
  <si>
    <t>Month</t>
  </si>
  <si>
    <t>Fuel Type</t>
  </si>
  <si>
    <t xml:space="preserve">Engine Size </t>
  </si>
  <si>
    <t>S/M/L</t>
  </si>
  <si>
    <t>Start Journey</t>
  </si>
  <si>
    <t xml:space="preserve">End Journey </t>
  </si>
  <si>
    <t xml:space="preserve">One Way or Return </t>
  </si>
  <si>
    <t>Mileage</t>
  </si>
  <si>
    <t>Saul</t>
  </si>
  <si>
    <t>Jan</t>
  </si>
  <si>
    <t>Petrol</t>
  </si>
  <si>
    <t>Small</t>
  </si>
  <si>
    <t>NN5 5NP</t>
  </si>
  <si>
    <t>Clarks of Kidderminster</t>
  </si>
  <si>
    <t>Return</t>
  </si>
  <si>
    <t>Graeme</t>
  </si>
  <si>
    <t>Feb</t>
  </si>
  <si>
    <t>Medium</t>
  </si>
  <si>
    <t>Peter</t>
  </si>
  <si>
    <t xml:space="preserve">2nd March </t>
  </si>
  <si>
    <t>Large</t>
  </si>
  <si>
    <t>HA6 2YL</t>
  </si>
  <si>
    <t xml:space="preserve">The Flag, Watford Junction </t>
  </si>
  <si>
    <t>14th March</t>
  </si>
  <si>
    <t xml:space="preserve">Petrol </t>
  </si>
  <si>
    <t>HP1 2BB</t>
  </si>
  <si>
    <t>Watford FC</t>
  </si>
  <si>
    <t xml:space="preserve">14th March </t>
  </si>
  <si>
    <t>4th April</t>
  </si>
  <si>
    <t xml:space="preserve">Mike </t>
  </si>
  <si>
    <t>April</t>
  </si>
  <si>
    <t>22nd June</t>
  </si>
  <si>
    <t>June (Summer Social)</t>
  </si>
  <si>
    <t>SL0 0RL</t>
  </si>
  <si>
    <t>Oak yard, Watford</t>
  </si>
  <si>
    <t xml:space="preserve">Cristina </t>
  </si>
  <si>
    <t>WD3 3FB</t>
  </si>
  <si>
    <t>Graham</t>
  </si>
  <si>
    <t>HP14 3LG</t>
  </si>
  <si>
    <t>Harry</t>
  </si>
  <si>
    <t>SG13 8JY</t>
  </si>
  <si>
    <t>Justin</t>
  </si>
  <si>
    <t>LU4 9QN</t>
  </si>
  <si>
    <t>Rob</t>
  </si>
  <si>
    <t>AL7 4TJ</t>
  </si>
  <si>
    <t>Zoey</t>
  </si>
  <si>
    <t>HP3 0QP</t>
  </si>
  <si>
    <t>6th July</t>
  </si>
  <si>
    <t>Watford Town Hall</t>
  </si>
  <si>
    <t>Sept</t>
  </si>
  <si>
    <t>Alan</t>
  </si>
  <si>
    <t xml:space="preserve">Dec (Xmas do) </t>
  </si>
  <si>
    <t>LD2 3EQ</t>
  </si>
  <si>
    <t>HP3 0AN</t>
  </si>
  <si>
    <t>15th Dec</t>
  </si>
  <si>
    <t>Whole Year (50% increase)</t>
  </si>
  <si>
    <t xml:space="preserve">No of Passengers </t>
  </si>
  <si>
    <t xml:space="preserve">Date </t>
  </si>
  <si>
    <t xml:space="preserve">From </t>
  </si>
  <si>
    <t xml:space="preserve">To </t>
  </si>
  <si>
    <t xml:space="preserve">Distance travelled in miles  </t>
  </si>
  <si>
    <t>Cristina</t>
  </si>
  <si>
    <t xml:space="preserve">James </t>
  </si>
  <si>
    <t>Neil</t>
  </si>
  <si>
    <t>HP3 8JH</t>
  </si>
  <si>
    <t xml:space="preserve">24th March </t>
  </si>
  <si>
    <t>?</t>
  </si>
  <si>
    <t xml:space="preserve">16th May </t>
  </si>
  <si>
    <t xml:space="preserve">2nd December </t>
  </si>
  <si>
    <t>Total including taxis taken after train</t>
  </si>
  <si>
    <t xml:space="preserve">Flight </t>
  </si>
  <si>
    <t>From</t>
  </si>
  <si>
    <t>Distance travelled in km</t>
  </si>
  <si>
    <t>Total kg of CO2</t>
  </si>
  <si>
    <t xml:space="preserve">Niall </t>
  </si>
  <si>
    <t>June</t>
  </si>
  <si>
    <t>Dublin</t>
  </si>
  <si>
    <t>Luton</t>
  </si>
  <si>
    <t xml:space="preserve">TOTAL  </t>
  </si>
  <si>
    <t>Hotel</t>
  </si>
  <si>
    <t xml:space="preserve">No of nights </t>
  </si>
  <si>
    <t xml:space="preserve">Total kg of C02 per night </t>
  </si>
  <si>
    <t>Niall</t>
  </si>
  <si>
    <t xml:space="preserve">June </t>
  </si>
  <si>
    <t xml:space="preserve">TOTAL   </t>
  </si>
  <si>
    <t>BUSINESS TRAVEL TOTAL KG OF C02e in 2023</t>
  </si>
  <si>
    <t>NOTE  - DRIVING FOR PETER INCREASED BY 50%</t>
  </si>
  <si>
    <t>Start Date</t>
  </si>
  <si>
    <t>Leave Date</t>
  </si>
  <si>
    <t>Method of commute to office</t>
  </si>
  <si>
    <t>Days per week in office</t>
  </si>
  <si>
    <t>Annual Mileage (miles per day x days per week x number of weeks employed-holiday weeks)</t>
  </si>
  <si>
    <t xml:space="preserve">Annual KM </t>
  </si>
  <si>
    <t>Conversion rate for Commuting</t>
  </si>
  <si>
    <t>Kg of C02 for Commuting</t>
  </si>
  <si>
    <t>No of hours working from home over 2022</t>
  </si>
  <si>
    <t>Conversion rate for working from home</t>
  </si>
  <si>
    <t>Working from home emissions in kg of CO2. Used kg CO2 e per unit x hours worked at home</t>
  </si>
  <si>
    <t>Chloe Amores</t>
  </si>
  <si>
    <t>Pre 2022</t>
  </si>
  <si>
    <t>Car</t>
  </si>
  <si>
    <t>M</t>
  </si>
  <si>
    <t>Archie Finnie</t>
  </si>
  <si>
    <t>Cristina Butanescu</t>
  </si>
  <si>
    <t>S</t>
  </si>
  <si>
    <t>Graeme Airey</t>
  </si>
  <si>
    <t>Harry Clinkscales</t>
  </si>
  <si>
    <t xml:space="preserve">James Bailey </t>
  </si>
  <si>
    <t>Justin Elayanithottathil</t>
  </si>
  <si>
    <t>Mike Darvill</t>
  </si>
  <si>
    <t>Graham Robertson</t>
  </si>
  <si>
    <t>Peter Cronin</t>
  </si>
  <si>
    <t>Rob Winsor</t>
  </si>
  <si>
    <t>Ryan Coates</t>
  </si>
  <si>
    <t>Saul Waldram</t>
  </si>
  <si>
    <t>Tiffany Wilcox</t>
  </si>
  <si>
    <t>Tracy Edwards</t>
  </si>
  <si>
    <t>Cheyenne Joof</t>
  </si>
  <si>
    <t>Ryan Simmonds</t>
  </si>
  <si>
    <t>Train- National Rail</t>
  </si>
  <si>
    <t>Zoey Davis</t>
  </si>
  <si>
    <t>Andy Clow</t>
  </si>
  <si>
    <t>Walk</t>
  </si>
  <si>
    <t>Alan Keane</t>
  </si>
  <si>
    <t>Worked from home</t>
  </si>
  <si>
    <t>Lesley Searle</t>
  </si>
  <si>
    <t>Mirella Cronin</t>
  </si>
  <si>
    <t>Neil Clifft</t>
  </si>
  <si>
    <t>Tony Searle</t>
  </si>
  <si>
    <t>Zoe Cronin</t>
  </si>
  <si>
    <t xml:space="preserve">Distance from RailMiles  </t>
  </si>
  <si>
    <t>Shafetsbury Avenue</t>
  </si>
  <si>
    <t>Train and Tube</t>
  </si>
  <si>
    <t>Liverpool Street</t>
  </si>
  <si>
    <t xml:space="preserve">Bond Street </t>
  </si>
  <si>
    <t>Euston</t>
  </si>
  <si>
    <t>Archie &amp; Sophia</t>
  </si>
  <si>
    <t xml:space="preserve">Train - National Rail (Summer Party) </t>
  </si>
  <si>
    <t xml:space="preserve">Denham </t>
  </si>
  <si>
    <t xml:space="preserve">Train - National Rail (Xmas Party) </t>
  </si>
  <si>
    <t xml:space="preserve">Archie  </t>
  </si>
  <si>
    <t>Sophia</t>
  </si>
  <si>
    <t xml:space="preserve">£60 oyster top up </t>
  </si>
  <si>
    <t xml:space="preserve">Feb </t>
  </si>
  <si>
    <t xml:space="preserve">Medium </t>
  </si>
  <si>
    <t>May</t>
  </si>
  <si>
    <t xml:space="preserve">July </t>
  </si>
  <si>
    <t>16th March</t>
  </si>
  <si>
    <t>Watford Centre</t>
  </si>
  <si>
    <t xml:space="preserve">21st March </t>
  </si>
  <si>
    <t xml:space="preserve">20th April </t>
  </si>
  <si>
    <t>22nd May</t>
  </si>
  <si>
    <t>8th June</t>
  </si>
  <si>
    <t xml:space="preserve">14th July </t>
  </si>
  <si>
    <t>Goodwood</t>
  </si>
  <si>
    <t xml:space="preserve">24th July </t>
  </si>
  <si>
    <t>Silverstone</t>
  </si>
  <si>
    <t xml:space="preserve">2nd August </t>
  </si>
  <si>
    <t>28th Sept</t>
  </si>
  <si>
    <t>1st Nov</t>
  </si>
  <si>
    <t>11th Dec</t>
  </si>
  <si>
    <t>14th Dec</t>
  </si>
  <si>
    <t xml:space="preserve">Distance travelled in miles </t>
  </si>
  <si>
    <t>6th March</t>
  </si>
  <si>
    <t>11th May</t>
  </si>
  <si>
    <t>18th Sept</t>
  </si>
  <si>
    <t>Distance travelled</t>
  </si>
  <si>
    <t>`</t>
  </si>
  <si>
    <t>BUSINESS TRAVEL TOTAL KG OF C02 in 2023</t>
  </si>
  <si>
    <t>NOTE  - DRIVING FOR PETER COULD BE INCREASED BY 50%</t>
  </si>
  <si>
    <t>Annual Mileage (miles per day x days per week x number of weeks employed until 30/06/24 minus holiday weeks)</t>
  </si>
  <si>
    <t>No of hours working from home over 2023</t>
  </si>
  <si>
    <t>Sports</t>
  </si>
  <si>
    <t>Zoe was on sick leave and not travel involved</t>
  </si>
  <si>
    <t>REGUS VISITS FROM 1st JULY 2023</t>
  </si>
  <si>
    <t>No of trips between 1st July and 31st Dec</t>
  </si>
  <si>
    <t>Annual Mileage (miles per day x days for year)</t>
  </si>
  <si>
    <t>L</t>
  </si>
  <si>
    <t>Car shared with James</t>
  </si>
  <si>
    <t xml:space="preserve">Sophia Cavallari </t>
  </si>
  <si>
    <t>TOTAL</t>
  </si>
  <si>
    <t>National rail</t>
  </si>
  <si>
    <t>Mayfair</t>
  </si>
  <si>
    <t>Romford</t>
  </si>
  <si>
    <t>Taxi</t>
  </si>
  <si>
    <t>Battersea</t>
  </si>
  <si>
    <t>Iver</t>
  </si>
  <si>
    <t>kg CO₂e per mile</t>
  </si>
  <si>
    <t>Final verified 2024 petrol car conversion factors</t>
  </si>
  <si>
    <t>Home</t>
  </si>
  <si>
    <t xml:space="preserve">Pinley House </t>
  </si>
  <si>
    <t>Size band</t>
  </si>
  <si>
    <t>Engine size approx.</t>
  </si>
  <si>
    <t>kg CO₂e/km</t>
  </si>
  <si>
    <t>kg CO₂e/mile (accurate)</t>
  </si>
  <si>
    <t>Rounded</t>
  </si>
  <si>
    <t>Small car</t>
  </si>
  <si>
    <t>≤ 1.4 L</t>
  </si>
  <si>
    <t>Medium car</t>
  </si>
  <si>
    <t>1.4 – 2.0 L</t>
  </si>
  <si>
    <t>March</t>
  </si>
  <si>
    <t>Large car</t>
  </si>
  <si>
    <t>&gt; 2.0 L</t>
  </si>
  <si>
    <t>Steve</t>
  </si>
  <si>
    <t>27th March</t>
  </si>
  <si>
    <t>London Excel</t>
  </si>
  <si>
    <t>29th March</t>
  </si>
  <si>
    <t>17th April</t>
  </si>
  <si>
    <t>19th April</t>
  </si>
  <si>
    <t xml:space="preserve">One Way  </t>
  </si>
  <si>
    <t>23rd April</t>
  </si>
  <si>
    <t>NEC Birmingham</t>
  </si>
  <si>
    <t>7th May</t>
  </si>
  <si>
    <t>DA2 6DT</t>
  </si>
  <si>
    <t xml:space="preserve">28th May </t>
  </si>
  <si>
    <t xml:space="preserve">One Way </t>
  </si>
  <si>
    <t>One Way</t>
  </si>
  <si>
    <t>29th May</t>
  </si>
  <si>
    <t>TW5 9QA</t>
  </si>
  <si>
    <t>31st May</t>
  </si>
  <si>
    <t>NN6 8FB</t>
  </si>
  <si>
    <t>6th June</t>
  </si>
  <si>
    <t>CB8 2LG</t>
  </si>
  <si>
    <t>12th June</t>
  </si>
  <si>
    <t>RG42 2ES</t>
  </si>
  <si>
    <t>18th June</t>
  </si>
  <si>
    <t xml:space="preserve">17th July </t>
  </si>
  <si>
    <t>Pinley</t>
  </si>
  <si>
    <t>WD3 5LB</t>
  </si>
  <si>
    <t>WD18 0ER</t>
  </si>
  <si>
    <t>WD25 7LP</t>
  </si>
  <si>
    <t>CV3 1ND</t>
  </si>
  <si>
    <t>WD18 0JU</t>
  </si>
  <si>
    <t>BUSINESS TRAVEL TOTAL KG OF C02 in 2024</t>
  </si>
  <si>
    <t>REGUS VISITS</t>
  </si>
  <si>
    <t>No of trips between 1st January and 31st Dec 2024</t>
  </si>
  <si>
    <t>Conversion rate for Commuting
kg CO₂e/mile (accurate)</t>
  </si>
  <si>
    <t>Steve Parkyn</t>
  </si>
  <si>
    <t xml:space="preserve">Car </t>
  </si>
  <si>
    <t>MEADES VISITS</t>
  </si>
  <si>
    <t>06/028/24</t>
  </si>
  <si>
    <t>NO COMMUTE</t>
  </si>
  <si>
    <t>SCOPE 1 DRIVING COMPANY CAR - COMMUTING &amp; BUSINESS</t>
  </si>
  <si>
    <t>Total Mileage</t>
  </si>
  <si>
    <t>January</t>
  </si>
  <si>
    <t>PHEV</t>
  </si>
  <si>
    <t>WD3 1QB</t>
  </si>
  <si>
    <t>2025 Plug-in Hybrid Car Emission Factors (verified)</t>
  </si>
  <si>
    <t>February</t>
  </si>
  <si>
    <t>WD17 1JA</t>
  </si>
  <si>
    <t>1.4 L – 2.0 L</t>
  </si>
  <si>
    <t>WD17 2ER</t>
  </si>
  <si>
    <t>2025 Petrol Car Emission Factors (verified from your file)</t>
  </si>
  <si>
    <t>WD17 3EZ</t>
  </si>
  <si>
    <t>up to ~1.4 L</t>
  </si>
  <si>
    <t xml:space="preserve"> 29/04/2025</t>
  </si>
  <si>
    <t>B40 1NT</t>
  </si>
  <si>
    <t>over 2.0 L</t>
  </si>
  <si>
    <t>WD18 8AX</t>
  </si>
  <si>
    <t>SL5 8DR</t>
  </si>
  <si>
    <t>July</t>
  </si>
  <si>
    <t>August</t>
  </si>
  <si>
    <t>September</t>
  </si>
  <si>
    <t>October</t>
  </si>
  <si>
    <t>WD6 3FG</t>
  </si>
  <si>
    <t>Oneway</t>
  </si>
  <si>
    <t>November</t>
  </si>
  <si>
    <t>December</t>
  </si>
  <si>
    <t>Factor (kg CO₂e per km)</t>
  </si>
  <si>
    <t>Converted (× 1.609 → kg CO₂e per mile)</t>
  </si>
  <si>
    <t>0.17474 kg CO₂e/km</t>
  </si>
  <si>
    <t>0.17474 × 1.609 = 0.282 kg CO₂e/mile</t>
  </si>
  <si>
    <t>0.26828 kg CO₂e/km</t>
  </si>
  <si>
    <t>0.26828 × 1.609 = 0.432 kg CO₂e/mile</t>
  </si>
  <si>
    <t>0.43175 kg CO₂e/km</t>
  </si>
  <si>
    <t>0.43175 × 1.609 = 0.695 kg CO₂e/mile</t>
  </si>
  <si>
    <t>0.16204 kg CO₂e/km</t>
  </si>
  <si>
    <t>0.16204 × 1.609 = 0.261 kg CO₂e/mile</t>
  </si>
  <si>
    <t>0.26 kg/mile</t>
  </si>
  <si>
    <t>0.26078 kg CO₂e/km</t>
  </si>
  <si>
    <t>0.26078 × 1.609 = 0.420 kg CO₂e/mile</t>
  </si>
  <si>
    <t>0.42 kg/mile</t>
  </si>
  <si>
    <t>0.70 kg/mile</t>
  </si>
  <si>
    <t>London underground</t>
  </si>
  <si>
    <t>Northwood</t>
  </si>
  <si>
    <t>Piccadilly Circus</t>
  </si>
  <si>
    <t>Barbican</t>
  </si>
  <si>
    <t>Waterloo</t>
  </si>
  <si>
    <t>London Bridge</t>
  </si>
  <si>
    <t>SCOPE 3 DRIVING NON-COMPANY CAR</t>
  </si>
  <si>
    <t>UB8 1DH</t>
  </si>
  <si>
    <t>BUSINESS TRAVEL TOTAL KG OF C02 in 2025</t>
  </si>
  <si>
    <t>No of trips between 1st January and 30th June 2025</t>
  </si>
  <si>
    <t xml:space="preserve">this process 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</si>
</sst>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£&quot;#,##0.00;[Red]\-&quot;£&quot;#,##0.00"/>
    <numFmt numFmtId="165" formatCode="0.000"/>
    <numFmt numFmtId="166" formatCode="0.0_ ;\-0.0\ "/>
    <numFmt numFmtId="167" formatCode="0_ ;\-0\ "/>
    <numFmt numFmtId="168" formatCode="0.00000_ ;\-0.00000\ "/>
    <numFmt numFmtId="169" formatCode="0.00_ ;\-0.00\ "/>
    <numFmt numFmtId="170" formatCode="0.000000_ ;\-0.000000\ "/>
    <numFmt numFmtId="171" formatCode="0.00_ ;[Red]\-0.00\ "/>
    <numFmt numFmtId="172" formatCode="mmm\ \'yy\ "/>
    <numFmt numFmtId="173" formatCode="0.00_);\(0.00\)"/>
    <numFmt numFmtId="174" formatCode="0.00000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venir Next LT Pro"/>
      <family val="2"/>
    </font>
    <font>
      <b/>
      <sz val="14"/>
      <color theme="1"/>
      <name val="Avenir Next LT Pro"/>
      <family val="2"/>
    </font>
    <font>
      <sz val="14"/>
      <name val="Avenir Next LT Pro"/>
      <family val="2"/>
    </font>
    <font>
      <b/>
      <sz val="2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Avenir Next LT Pro"/>
    </font>
    <font>
      <sz val="14"/>
      <color theme="1"/>
      <name val="Avenir Next LT Pro"/>
    </font>
    <font>
      <b/>
      <sz val="14"/>
      <color theme="1"/>
      <name val="Calibri (Body)"/>
    </font>
    <font>
      <sz val="13.5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3.5"/>
      <color rgb="FF00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FCFF00"/>
        <bgColor indexed="64"/>
      </patternFill>
    </fill>
    <fill>
      <patternFill patternType="solid">
        <fgColor rgb="FFFDE4D6"/>
        <bgColor indexed="64"/>
      </patternFill>
    </fill>
    <fill>
      <patternFill patternType="solid">
        <fgColor rgb="FFAAD08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53D5F"/>
      </left>
      <right style="thin">
        <color rgb="FF053D5F"/>
      </right>
      <top style="thin">
        <color rgb="FF053D5F"/>
      </top>
      <bottom style="thin">
        <color rgb="FF053D5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3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3" fillId="3" borderId="0" xfId="0" applyFont="1" applyFill="1"/>
    <xf numFmtId="0" fontId="0" fillId="3" borderId="0" xfId="0" applyFill="1" applyAlignment="1">
      <alignment horizontal="left" vertical="center"/>
    </xf>
    <xf numFmtId="0" fontId="3" fillId="4" borderId="0" xfId="0" applyFont="1" applyFill="1" applyAlignment="1">
      <alignment horizontal="left"/>
    </xf>
    <xf numFmtId="0" fontId="0" fillId="4" borderId="0" xfId="0" applyFill="1"/>
    <xf numFmtId="0" fontId="3" fillId="4" borderId="0" xfId="0" applyFont="1" applyFill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10" fontId="0" fillId="3" borderId="0" xfId="0" applyNumberFormat="1" applyFill="1" applyAlignment="1">
      <alignment horizontal="right"/>
    </xf>
    <xf numFmtId="0" fontId="0" fillId="4" borderId="0" xfId="0" applyFill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165" fontId="0" fillId="4" borderId="0" xfId="0" applyNumberFormat="1" applyFill="1" applyAlignment="1">
      <alignment horizontal="right"/>
    </xf>
    <xf numFmtId="0" fontId="0" fillId="0" borderId="0" xfId="0" applyAlignment="1">
      <alignment horizontal="center"/>
    </xf>
    <xf numFmtId="0" fontId="0" fillId="3" borderId="0" xfId="0" applyFill="1" applyAlignment="1">
      <alignment horizontal="right" vertical="center"/>
    </xf>
    <xf numFmtId="1" fontId="0" fillId="4" borderId="0" xfId="0" applyNumberFormat="1" applyFill="1" applyAlignment="1">
      <alignment horizontal="right"/>
    </xf>
    <xf numFmtId="0" fontId="0" fillId="5" borderId="0" xfId="0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right"/>
    </xf>
    <xf numFmtId="0" fontId="0" fillId="6" borderId="0" xfId="0" applyFill="1"/>
    <xf numFmtId="0" fontId="0" fillId="6" borderId="0" xfId="0" applyFill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vertical="top" wrapText="1"/>
    </xf>
    <xf numFmtId="166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166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6" fontId="0" fillId="5" borderId="0" xfId="0" applyNumberFormat="1" applyFill="1" applyAlignment="1">
      <alignment horizontal="center"/>
    </xf>
    <xf numFmtId="166" fontId="1" fillId="5" borderId="0" xfId="0" applyNumberFormat="1" applyFont="1" applyFill="1" applyAlignment="1">
      <alignment horizontal="center" vertical="top" wrapText="1"/>
    </xf>
    <xf numFmtId="0" fontId="0" fillId="5" borderId="0" xfId="0" applyFill="1" applyAlignment="1">
      <alignment horizontal="left" vertical="top" wrapText="1"/>
    </xf>
    <xf numFmtId="166" fontId="0" fillId="5" borderId="0" xfId="0" applyNumberFormat="1" applyFill="1"/>
    <xf numFmtId="0" fontId="1" fillId="5" borderId="0" xfId="0" applyFont="1" applyFill="1" applyAlignment="1">
      <alignment horizontal="center" vertical="top" wrapText="1"/>
    </xf>
    <xf numFmtId="0" fontId="5" fillId="0" borderId="6" xfId="0" applyFont="1" applyBorder="1" applyAlignment="1">
      <alignment horizontal="left"/>
    </xf>
    <xf numFmtId="0" fontId="5" fillId="0" borderId="6" xfId="0" applyFont="1" applyBorder="1"/>
    <xf numFmtId="166" fontId="5" fillId="0" borderId="6" xfId="0" applyNumberFormat="1" applyFont="1" applyBorder="1" applyAlignment="1">
      <alignment horizontal="center"/>
    </xf>
    <xf numFmtId="166" fontId="0" fillId="5" borderId="6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166" fontId="0" fillId="5" borderId="6" xfId="0" applyNumberFormat="1" applyFill="1" applyBorder="1"/>
    <xf numFmtId="0" fontId="0" fillId="0" borderId="6" xfId="0" applyBorder="1"/>
    <xf numFmtId="2" fontId="0" fillId="5" borderId="0" xfId="0" applyNumberFormat="1" applyFill="1" applyAlignment="1">
      <alignment horizontal="center"/>
    </xf>
    <xf numFmtId="0" fontId="1" fillId="0" borderId="6" xfId="0" applyFont="1" applyBorder="1" applyAlignment="1">
      <alignment horizontal="left"/>
    </xf>
    <xf numFmtId="14" fontId="1" fillId="0" borderId="6" xfId="0" applyNumberFormat="1" applyFont="1" applyBorder="1" applyAlignment="1">
      <alignment horizontal="left"/>
    </xf>
    <xf numFmtId="0" fontId="1" fillId="0" borderId="6" xfId="0" applyFont="1" applyBorder="1"/>
    <xf numFmtId="166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6" fillId="0" borderId="6" xfId="0" applyFont="1" applyBorder="1" applyAlignment="1">
      <alignment horizontal="left"/>
    </xf>
    <xf numFmtId="0" fontId="6" fillId="0" borderId="6" xfId="0" applyFont="1" applyBorder="1"/>
    <xf numFmtId="166" fontId="6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2" fontId="7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9" fontId="0" fillId="0" borderId="0" xfId="0" applyNumberFormat="1" applyAlignment="1">
      <alignment horizontal="center"/>
    </xf>
    <xf numFmtId="170" fontId="1" fillId="0" borderId="0" xfId="0" applyNumberFormat="1" applyFont="1" applyAlignment="1">
      <alignment horizontal="center" vertical="top" wrapText="1"/>
    </xf>
    <xf numFmtId="170" fontId="0" fillId="0" borderId="0" xfId="0" applyNumberFormat="1" applyAlignment="1">
      <alignment horizontal="center"/>
    </xf>
    <xf numFmtId="169" fontId="0" fillId="5" borderId="0" xfId="0" applyNumberFormat="1" applyFill="1" applyAlignment="1">
      <alignment horizontal="center"/>
    </xf>
    <xf numFmtId="169" fontId="1" fillId="5" borderId="0" xfId="0" applyNumberFormat="1" applyFont="1" applyFill="1" applyAlignment="1">
      <alignment horizontal="center" vertical="top" wrapText="1"/>
    </xf>
    <xf numFmtId="169" fontId="0" fillId="5" borderId="0" xfId="0" applyNumberFormat="1" applyFill="1"/>
    <xf numFmtId="0" fontId="0" fillId="5" borderId="0" xfId="0" applyFill="1" applyAlignment="1">
      <alignment horizontal="center" vertical="top" wrapText="1"/>
    </xf>
    <xf numFmtId="0" fontId="0" fillId="5" borderId="0" xfId="0" applyFill="1" applyAlignment="1">
      <alignment horizontal="center"/>
    </xf>
    <xf numFmtId="166" fontId="1" fillId="5" borderId="1" xfId="0" applyNumberFormat="1" applyFont="1" applyFill="1" applyBorder="1" applyAlignment="1">
      <alignment horizontal="center" vertical="top" wrapText="1"/>
    </xf>
    <xf numFmtId="169" fontId="7" fillId="5" borderId="6" xfId="0" applyNumberFormat="1" applyFont="1" applyFill="1" applyBorder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 vertical="top" wrapText="1"/>
    </xf>
    <xf numFmtId="166" fontId="0" fillId="0" borderId="0" xfId="0" applyNumberFormat="1" applyAlignment="1">
      <alignment horizontal="left"/>
    </xf>
    <xf numFmtId="169" fontId="1" fillId="5" borderId="6" xfId="0" applyNumberFormat="1" applyFont="1" applyFill="1" applyBorder="1" applyAlignment="1">
      <alignment horizontal="center"/>
    </xf>
    <xf numFmtId="168" fontId="0" fillId="0" borderId="0" xfId="0" applyNumberFormat="1" applyAlignment="1">
      <alignment horizontal="center" vertical="top" wrapText="1"/>
    </xf>
    <xf numFmtId="168" fontId="0" fillId="0" borderId="0" xfId="0" applyNumberFormat="1" applyAlignment="1">
      <alignment horizontal="right"/>
    </xf>
    <xf numFmtId="0" fontId="1" fillId="0" borderId="4" xfId="0" applyFont="1" applyBorder="1" applyAlignment="1">
      <alignment horizontal="right" vertical="top" wrapText="1"/>
    </xf>
    <xf numFmtId="0" fontId="1" fillId="5" borderId="1" xfId="0" applyFont="1" applyFill="1" applyBorder="1" applyAlignment="1">
      <alignment horizontal="right" vertical="top" wrapText="1"/>
    </xf>
    <xf numFmtId="0" fontId="1" fillId="5" borderId="4" xfId="0" applyFont="1" applyFill="1" applyBorder="1" applyAlignment="1">
      <alignment horizontal="right" vertical="top" wrapText="1"/>
    </xf>
    <xf numFmtId="0" fontId="1" fillId="5" borderId="0" xfId="0" applyFont="1" applyFill="1"/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/>
    </xf>
    <xf numFmtId="0" fontId="8" fillId="0" borderId="0" xfId="0" applyFont="1"/>
    <xf numFmtId="0" fontId="9" fillId="5" borderId="1" xfId="0" applyFont="1" applyFill="1" applyBorder="1"/>
    <xf numFmtId="0" fontId="9" fillId="5" borderId="1" xfId="0" applyFont="1" applyFill="1" applyBorder="1" applyAlignment="1">
      <alignment horizontal="left"/>
    </xf>
    <xf numFmtId="0" fontId="9" fillId="0" borderId="0" xfId="0" applyFont="1"/>
    <xf numFmtId="0" fontId="9" fillId="2" borderId="1" xfId="0" applyFont="1" applyFill="1" applyBorder="1"/>
    <xf numFmtId="0" fontId="9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/>
    <xf numFmtId="0" fontId="8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9" fontId="8" fillId="0" borderId="1" xfId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/>
    </xf>
    <xf numFmtId="0" fontId="8" fillId="4" borderId="1" xfId="0" applyFont="1" applyFill="1" applyBorder="1"/>
    <xf numFmtId="0" fontId="10" fillId="4" borderId="1" xfId="0" applyFont="1" applyFill="1" applyBorder="1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left"/>
    </xf>
    <xf numFmtId="14" fontId="0" fillId="0" borderId="0" xfId="0" applyNumberFormat="1" applyAlignment="1">
      <alignment horizontal="left" vertical="top" wrapText="1"/>
    </xf>
    <xf numFmtId="166" fontId="0" fillId="0" borderId="0" xfId="0" applyNumberFormat="1" applyAlignment="1">
      <alignment horizontal="center" vertical="top" wrapText="1"/>
    </xf>
    <xf numFmtId="166" fontId="0" fillId="5" borderId="0" xfId="0" applyNumberFormat="1" applyFill="1" applyAlignment="1">
      <alignment horizontal="center" vertical="top" wrapText="1"/>
    </xf>
    <xf numFmtId="17" fontId="0" fillId="0" borderId="0" xfId="0" applyNumberFormat="1" applyAlignment="1">
      <alignment horizontal="left"/>
    </xf>
    <xf numFmtId="0" fontId="1" fillId="0" borderId="1" xfId="0" applyFont="1" applyBorder="1" applyAlignment="1">
      <alignment horizontal="left" vertical="top"/>
    </xf>
    <xf numFmtId="0" fontId="0" fillId="0" borderId="1" xfId="0" applyBorder="1"/>
    <xf numFmtId="0" fontId="1" fillId="5" borderId="1" xfId="0" applyFont="1" applyFill="1" applyBorder="1" applyAlignment="1">
      <alignment horizontal="center" vertical="top" wrapText="1"/>
    </xf>
    <xf numFmtId="166" fontId="0" fillId="0" borderId="6" xfId="0" applyNumberFormat="1" applyBorder="1" applyAlignment="1">
      <alignment horizontal="center"/>
    </xf>
    <xf numFmtId="169" fontId="0" fillId="5" borderId="6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9" fontId="0" fillId="0" borderId="0" xfId="0" applyNumberFormat="1"/>
    <xf numFmtId="0" fontId="0" fillId="0" borderId="0" xfId="0" applyAlignment="1">
      <alignment vertical="top" wrapText="1"/>
    </xf>
    <xf numFmtId="166" fontId="0" fillId="0" borderId="0" xfId="0" applyNumberFormat="1"/>
    <xf numFmtId="166" fontId="0" fillId="0" borderId="0" xfId="0" applyNumberFormat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168" fontId="0" fillId="5" borderId="0" xfId="0" applyNumberFormat="1" applyFill="1" applyAlignment="1">
      <alignment horizontal="center" vertical="top" wrapText="1"/>
    </xf>
    <xf numFmtId="169" fontId="0" fillId="0" borderId="0" xfId="0" applyNumberFormat="1" applyAlignment="1">
      <alignment horizontal="center" vertical="top" wrapText="1"/>
    </xf>
    <xf numFmtId="170" fontId="0" fillId="0" borderId="0" xfId="0" applyNumberFormat="1" applyAlignment="1">
      <alignment horizontal="center" vertical="top" wrapText="1"/>
    </xf>
    <xf numFmtId="0" fontId="1" fillId="5" borderId="1" xfId="0" applyFont="1" applyFill="1" applyBorder="1" applyAlignment="1">
      <alignment horizontal="left"/>
    </xf>
    <xf numFmtId="166" fontId="0" fillId="5" borderId="1" xfId="0" applyNumberForma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67" fontId="1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left"/>
    </xf>
    <xf numFmtId="166" fontId="1" fillId="5" borderId="6" xfId="0" applyNumberFormat="1" applyFont="1" applyFill="1" applyBorder="1"/>
    <xf numFmtId="16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  <xf numFmtId="169" fontId="0" fillId="5" borderId="0" xfId="0" applyNumberFormat="1" applyFill="1" applyAlignment="1">
      <alignment horizontal="center" vertical="center"/>
    </xf>
    <xf numFmtId="166" fontId="0" fillId="5" borderId="0" xfId="0" applyNumberForma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0" xfId="0" applyFont="1" applyAlignment="1">
      <alignment vertical="center"/>
    </xf>
    <xf numFmtId="169" fontId="0" fillId="5" borderId="0" xfId="0" applyNumberFormat="1" applyFill="1" applyAlignment="1">
      <alignment vertical="center"/>
    </xf>
    <xf numFmtId="169" fontId="1" fillId="5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9" fontId="0" fillId="0" borderId="0" xfId="0" applyNumberFormat="1" applyAlignment="1">
      <alignment vertical="center"/>
    </xf>
    <xf numFmtId="169" fontId="0" fillId="0" borderId="0" xfId="0" applyNumberFormat="1" applyAlignment="1">
      <alignment vertical="center" wrapText="1"/>
    </xf>
    <xf numFmtId="166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top" wrapText="1"/>
    </xf>
    <xf numFmtId="14" fontId="0" fillId="0" borderId="0" xfId="0" applyNumberFormat="1" applyAlignment="1">
      <alignment vertical="top" wrapText="1"/>
    </xf>
    <xf numFmtId="14" fontId="0" fillId="0" borderId="0" xfId="0" applyNumberFormat="1" applyAlignment="1">
      <alignment vertical="center" wrapText="1"/>
    </xf>
    <xf numFmtId="14" fontId="0" fillId="0" borderId="0" xfId="0" applyNumberFormat="1"/>
    <xf numFmtId="0" fontId="0" fillId="0" borderId="7" xfId="0" applyBorder="1"/>
    <xf numFmtId="166" fontId="6" fillId="0" borderId="6" xfId="0" applyNumberFormat="1" applyFont="1" applyBorder="1"/>
    <xf numFmtId="166" fontId="11" fillId="0" borderId="0" xfId="0" applyNumberFormat="1" applyFont="1" applyAlignment="1">
      <alignment horizontal="center"/>
    </xf>
    <xf numFmtId="169" fontId="11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8" borderId="0" xfId="0" applyFont="1" applyFill="1" applyAlignment="1">
      <alignment horizontal="left"/>
    </xf>
    <xf numFmtId="0" fontId="0" fillId="8" borderId="0" xfId="0" applyFill="1" applyAlignment="1">
      <alignment horizontal="left"/>
    </xf>
    <xf numFmtId="166" fontId="0" fillId="5" borderId="0" xfId="0" applyNumberFormat="1" applyFill="1" applyAlignment="1">
      <alignment horizontal="right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left"/>
    </xf>
    <xf numFmtId="169" fontId="0" fillId="10" borderId="0" xfId="0" applyNumberFormat="1" applyFill="1" applyAlignment="1">
      <alignment vertical="center"/>
    </xf>
    <xf numFmtId="2" fontId="7" fillId="9" borderId="6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169" fontId="1" fillId="9" borderId="6" xfId="0" applyNumberFormat="1" applyFont="1" applyFill="1" applyBorder="1" applyAlignment="1">
      <alignment horizontal="center"/>
    </xf>
    <xf numFmtId="168" fontId="1" fillId="9" borderId="0" xfId="0" applyNumberFormat="1" applyFont="1" applyFill="1" applyAlignment="1">
      <alignment horizontal="center" vertical="top" wrapText="1"/>
    </xf>
    <xf numFmtId="167" fontId="1" fillId="9" borderId="0" xfId="0" applyNumberFormat="1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0" fillId="9" borderId="0" xfId="0" applyFill="1" applyAlignment="1">
      <alignment horizontal="right"/>
    </xf>
    <xf numFmtId="169" fontId="7" fillId="9" borderId="0" xfId="0" applyNumberFormat="1" applyFont="1" applyFill="1" applyAlignment="1">
      <alignment horizontal="right"/>
    </xf>
    <xf numFmtId="169" fontId="0" fillId="9" borderId="0" xfId="0" applyNumberFormat="1" applyFill="1" applyAlignment="1">
      <alignment horizontal="center"/>
    </xf>
    <xf numFmtId="166" fontId="7" fillId="9" borderId="0" xfId="0" applyNumberFormat="1" applyFont="1" applyFill="1" applyAlignment="1">
      <alignment horizontal="right"/>
    </xf>
    <xf numFmtId="166" fontId="1" fillId="0" borderId="6" xfId="0" applyNumberFormat="1" applyFont="1" applyBorder="1" applyAlignment="1">
      <alignment horizontal="center" vertical="center"/>
    </xf>
    <xf numFmtId="2" fontId="0" fillId="5" borderId="6" xfId="0" applyNumberFormat="1" applyFill="1" applyBorder="1" applyAlignment="1">
      <alignment horizontal="center"/>
    </xf>
    <xf numFmtId="166" fontId="0" fillId="9" borderId="6" xfId="0" applyNumberFormat="1" applyFill="1" applyBorder="1" applyAlignment="1">
      <alignment horizontal="center"/>
    </xf>
    <xf numFmtId="2" fontId="1" fillId="9" borderId="6" xfId="0" applyNumberFormat="1" applyFont="1" applyFill="1" applyBorder="1" applyAlignment="1">
      <alignment horizontal="center"/>
    </xf>
    <xf numFmtId="0" fontId="7" fillId="5" borderId="0" xfId="0" applyFont="1" applyFill="1"/>
    <xf numFmtId="0" fontId="0" fillId="9" borderId="0" xfId="0" applyFill="1"/>
    <xf numFmtId="171" fontId="1" fillId="0" borderId="0" xfId="0" applyNumberFormat="1" applyFont="1" applyAlignment="1">
      <alignment horizontal="right"/>
    </xf>
    <xf numFmtId="171" fontId="0" fillId="0" borderId="0" xfId="0" applyNumberFormat="1" applyAlignment="1">
      <alignment horizontal="right"/>
    </xf>
    <xf numFmtId="9" fontId="1" fillId="0" borderId="0" xfId="0" applyNumberFormat="1" applyFont="1"/>
    <xf numFmtId="172" fontId="0" fillId="0" borderId="0" xfId="0" applyNumberFormat="1" applyAlignment="1">
      <alignment horizontal="right"/>
    </xf>
    <xf numFmtId="0" fontId="0" fillId="5" borderId="0" xfId="0" applyFill="1" applyAlignment="1">
      <alignment horizontal="right" vertical="center"/>
    </xf>
    <xf numFmtId="0" fontId="0" fillId="6" borderId="0" xfId="0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1" fontId="1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2" fontId="0" fillId="2" borderId="0" xfId="0" applyNumberFormat="1" applyFill="1" applyAlignment="1">
      <alignment horizontal="right" vertical="center"/>
    </xf>
    <xf numFmtId="0" fontId="0" fillId="13" borderId="0" xfId="0" applyFill="1" applyAlignment="1">
      <alignment horizontal="right" vertical="center"/>
    </xf>
    <xf numFmtId="0" fontId="0" fillId="14" borderId="0" xfId="0" applyFill="1" applyAlignment="1">
      <alignment horizontal="right" vertical="center"/>
    </xf>
    <xf numFmtId="9" fontId="0" fillId="12" borderId="0" xfId="0" applyNumberFormat="1" applyFill="1" applyAlignment="1">
      <alignment horizontal="right" vertical="center"/>
    </xf>
    <xf numFmtId="0" fontId="0" fillId="15" borderId="0" xfId="0" applyFill="1" applyAlignment="1">
      <alignment horizontal="right" vertical="center"/>
    </xf>
    <xf numFmtId="10" fontId="1" fillId="0" borderId="0" xfId="0" applyNumberFormat="1" applyFont="1" applyAlignment="1">
      <alignment horizontal="right"/>
    </xf>
    <xf numFmtId="171" fontId="0" fillId="0" borderId="0" xfId="0" applyNumberFormat="1"/>
    <xf numFmtId="9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9" fillId="9" borderId="1" xfId="0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1" fontId="9" fillId="13" borderId="1" xfId="0" applyNumberFormat="1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left" vertical="top" wrapText="1"/>
    </xf>
    <xf numFmtId="0" fontId="0" fillId="0" borderId="0" xfId="0" applyAlignment="1">
      <alignment horizontal="right" vertical="center" wrapText="1"/>
    </xf>
    <xf numFmtId="0" fontId="14" fillId="0" borderId="0" xfId="0" applyFont="1"/>
    <xf numFmtId="0" fontId="1" fillId="9" borderId="0" xfId="0" applyFont="1" applyFill="1"/>
    <xf numFmtId="0" fontId="13" fillId="11" borderId="0" xfId="0" applyFont="1" applyFill="1" applyAlignment="1">
      <alignment horizontal="right"/>
    </xf>
    <xf numFmtId="0" fontId="0" fillId="9" borderId="0" xfId="0" applyFill="1" applyAlignment="1">
      <alignment horizontal="left"/>
    </xf>
    <xf numFmtId="0" fontId="0" fillId="9" borderId="0" xfId="0" applyFill="1" applyAlignment="1">
      <alignment horizontal="right" vertical="center"/>
    </xf>
    <xf numFmtId="0" fontId="8" fillId="12" borderId="1" xfId="0" applyFont="1" applyFill="1" applyBorder="1" applyAlignment="1">
      <alignment horizontal="left"/>
    </xf>
    <xf numFmtId="0" fontId="16" fillId="5" borderId="1" xfId="0" applyFont="1" applyFill="1" applyBorder="1"/>
    <xf numFmtId="0" fontId="16" fillId="5" borderId="1" xfId="0" applyFont="1" applyFill="1" applyBorder="1" applyAlignment="1">
      <alignment horizontal="left"/>
    </xf>
    <xf numFmtId="1" fontId="17" fillId="0" borderId="1" xfId="0" applyNumberFormat="1" applyFont="1" applyBorder="1" applyAlignment="1">
      <alignment horizontal="center" vertical="center"/>
    </xf>
    <xf numFmtId="9" fontId="0" fillId="2" borderId="0" xfId="0" applyNumberFormat="1" applyFill="1" applyAlignment="1">
      <alignment horizontal="right" vertical="center"/>
    </xf>
    <xf numFmtId="0" fontId="0" fillId="0" borderId="0" xfId="0" applyAlignment="1">
      <alignment horizontal="right" vertical="center"/>
    </xf>
    <xf numFmtId="14" fontId="15" fillId="0" borderId="0" xfId="0" applyNumberFormat="1" applyFont="1" applyAlignment="1">
      <alignment horizontal="left"/>
    </xf>
    <xf numFmtId="0" fontId="18" fillId="9" borderId="7" xfId="0" applyFont="1" applyFill="1" applyBorder="1" applyAlignment="1">
      <alignment vertical="center"/>
    </xf>
    <xf numFmtId="0" fontId="1" fillId="9" borderId="7" xfId="0" applyFont="1" applyFill="1" applyBorder="1" applyAlignment="1">
      <alignment vertical="center"/>
    </xf>
    <xf numFmtId="0" fontId="18" fillId="0" borderId="0" xfId="0" applyFont="1"/>
    <xf numFmtId="2" fontId="0" fillId="5" borderId="0" xfId="0" applyNumberFormat="1" applyFill="1" applyAlignment="1">
      <alignment horizontal="right"/>
    </xf>
    <xf numFmtId="2" fontId="0" fillId="9" borderId="0" xfId="0" applyNumberFormat="1" applyFill="1" applyAlignment="1">
      <alignment horizontal="right"/>
    </xf>
    <xf numFmtId="2" fontId="0" fillId="0" borderId="0" xfId="0" applyNumberFormat="1"/>
    <xf numFmtId="2" fontId="0" fillId="9" borderId="0" xfId="0" applyNumberFormat="1" applyFill="1"/>
    <xf numFmtId="2" fontId="1" fillId="0" borderId="0" xfId="0" applyNumberFormat="1" applyFont="1" applyAlignment="1">
      <alignment horizontal="right" vertical="top" wrapText="1"/>
    </xf>
    <xf numFmtId="2" fontId="0" fillId="0" borderId="0" xfId="0" applyNumberFormat="1" applyAlignment="1">
      <alignment horizontal="right"/>
    </xf>
    <xf numFmtId="2" fontId="1" fillId="9" borderId="0" xfId="0" applyNumberFormat="1" applyFont="1" applyFill="1"/>
    <xf numFmtId="173" fontId="7" fillId="9" borderId="0" xfId="0" applyNumberFormat="1" applyFont="1" applyFill="1" applyAlignment="1">
      <alignment horizontal="right"/>
    </xf>
    <xf numFmtId="1" fontId="0" fillId="0" borderId="0" xfId="0" applyNumberFormat="1" applyAlignment="1">
      <alignment horizontal="left"/>
    </xf>
    <xf numFmtId="1" fontId="5" fillId="0" borderId="6" xfId="0" applyNumberFormat="1" applyFont="1" applyBorder="1" applyAlignment="1">
      <alignment horizontal="left"/>
    </xf>
    <xf numFmtId="1" fontId="0" fillId="0" borderId="0" xfId="0" applyNumberFormat="1" applyAlignment="1">
      <alignment horizontal="left" vertical="top" wrapText="1"/>
    </xf>
    <xf numFmtId="164" fontId="0" fillId="0" borderId="0" xfId="0" applyNumberFormat="1" applyAlignment="1">
      <alignment horizontal="right" vertical="top" wrapText="1"/>
    </xf>
    <xf numFmtId="164" fontId="0" fillId="0" borderId="0" xfId="0" applyNumberFormat="1" applyAlignment="1">
      <alignment horizontal="right"/>
    </xf>
    <xf numFmtId="0" fontId="0" fillId="17" borderId="1" xfId="0" applyFill="1" applyBorder="1" applyAlignment="1">
      <alignment horizontal="right" vertical="top" wrapText="1"/>
    </xf>
    <xf numFmtId="0" fontId="0" fillId="17" borderId="1" xfId="0" applyFill="1" applyBorder="1" applyAlignment="1">
      <alignment horizontal="right"/>
    </xf>
    <xf numFmtId="0" fontId="19" fillId="0" borderId="0" xfId="0" applyFont="1"/>
    <xf numFmtId="14" fontId="1" fillId="7" borderId="1" xfId="0" applyNumberFormat="1" applyFont="1" applyFill="1" applyBorder="1" applyAlignment="1">
      <alignment horizontal="left" vertical="top" wrapText="1"/>
    </xf>
    <xf numFmtId="2" fontId="0" fillId="5" borderId="1" xfId="0" applyNumberFormat="1" applyFill="1" applyBorder="1" applyAlignment="1">
      <alignment horizontal="center"/>
    </xf>
    <xf numFmtId="169" fontId="1" fillId="13" borderId="6" xfId="0" applyNumberFormat="1" applyFont="1" applyFill="1" applyBorder="1" applyAlignment="1">
      <alignment vertical="center"/>
    </xf>
    <xf numFmtId="169" fontId="7" fillId="9" borderId="6" xfId="0" applyNumberFormat="1" applyFont="1" applyFill="1" applyBorder="1"/>
    <xf numFmtId="169" fontId="7" fillId="13" borderId="6" xfId="0" applyNumberFormat="1" applyFont="1" applyFill="1" applyBorder="1" applyAlignment="1">
      <alignment horizontal="center"/>
    </xf>
    <xf numFmtId="166" fontId="1" fillId="9" borderId="6" xfId="0" applyNumberFormat="1" applyFont="1" applyFill="1" applyBorder="1"/>
    <xf numFmtId="166" fontId="1" fillId="13" borderId="6" xfId="0" applyNumberFormat="1" applyFont="1" applyFill="1" applyBorder="1" applyAlignment="1">
      <alignment horizontal="center"/>
    </xf>
    <xf numFmtId="0" fontId="15" fillId="0" borderId="0" xfId="0" applyFont="1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22" fillId="0" borderId="0" xfId="0" applyFont="1"/>
    <xf numFmtId="0" fontId="21" fillId="0" borderId="0" xfId="0" applyFont="1" applyAlignment="1">
      <alignment horizontal="left" vertical="top" wrapText="1"/>
    </xf>
    <xf numFmtId="166" fontId="21" fillId="0" borderId="0" xfId="0" applyNumberFormat="1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1" fillId="0" borderId="1" xfId="0" applyFont="1" applyBorder="1"/>
    <xf numFmtId="0" fontId="15" fillId="0" borderId="0" xfId="0" applyFont="1" applyAlignment="1">
      <alignment horizontal="left"/>
    </xf>
    <xf numFmtId="14" fontId="21" fillId="0" borderId="0" xfId="0" applyNumberFormat="1" applyFont="1" applyAlignment="1">
      <alignment horizontal="left" vertical="top" wrapText="1"/>
    </xf>
    <xf numFmtId="2" fontId="15" fillId="0" borderId="0" xfId="0" applyNumberFormat="1" applyFont="1" applyAlignment="1">
      <alignment horizontal="center"/>
    </xf>
    <xf numFmtId="0" fontId="1" fillId="0" borderId="3" xfId="0" applyFont="1" applyBorder="1"/>
    <xf numFmtId="0" fontId="21" fillId="0" borderId="4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166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right" vertical="top" wrapText="1"/>
    </xf>
    <xf numFmtId="166" fontId="21" fillId="19" borderId="10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/>
    </xf>
    <xf numFmtId="14" fontId="21" fillId="0" borderId="0" xfId="0" applyNumberFormat="1" applyFont="1" applyAlignment="1">
      <alignment horizontal="left"/>
    </xf>
    <xf numFmtId="0" fontId="21" fillId="0" borderId="0" xfId="0" applyFont="1"/>
    <xf numFmtId="166" fontId="21" fillId="0" borderId="0" xfId="0" applyNumberFormat="1" applyFont="1" applyAlignment="1">
      <alignment horizontal="center"/>
    </xf>
    <xf numFmtId="2" fontId="21" fillId="18" borderId="0" xfId="0" applyNumberFormat="1" applyFont="1" applyFill="1" applyAlignment="1">
      <alignment horizontal="center"/>
    </xf>
    <xf numFmtId="0" fontId="15" fillId="0" borderId="1" xfId="0" applyFont="1" applyBorder="1" applyAlignment="1">
      <alignment horizontal="left"/>
    </xf>
    <xf numFmtId="14" fontId="21" fillId="20" borderId="1" xfId="0" applyNumberFormat="1" applyFont="1" applyFill="1" applyBorder="1" applyAlignment="1">
      <alignment horizontal="left" vertical="top" wrapText="1"/>
    </xf>
    <xf numFmtId="166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1" fillId="21" borderId="1" xfId="0" applyFont="1" applyFill="1" applyBorder="1" applyAlignment="1">
      <alignment horizontal="left" vertical="top" wrapText="1"/>
    </xf>
    <xf numFmtId="2" fontId="15" fillId="19" borderId="1" xfId="0" applyNumberFormat="1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14" fontId="21" fillId="20" borderId="1" xfId="0" applyNumberFormat="1" applyFont="1" applyFill="1" applyBorder="1" applyAlignment="1">
      <alignment horizontal="left" vertical="top"/>
    </xf>
    <xf numFmtId="14" fontId="21" fillId="20" borderId="1" xfId="0" applyNumberFormat="1" applyFont="1" applyFill="1" applyBorder="1" applyAlignment="1">
      <alignment horizontal="left"/>
    </xf>
    <xf numFmtId="0" fontId="21" fillId="21" borderId="1" xfId="0" applyFont="1" applyFill="1" applyBorder="1"/>
    <xf numFmtId="0" fontId="21" fillId="21" borderId="1" xfId="0" applyFont="1" applyFill="1" applyBorder="1" applyAlignment="1">
      <alignment horizontal="left"/>
    </xf>
    <xf numFmtId="0" fontId="21" fillId="22" borderId="1" xfId="0" applyFont="1" applyFill="1" applyBorder="1" applyAlignment="1">
      <alignment horizontal="left" vertical="top" wrapText="1"/>
    </xf>
    <xf numFmtId="166" fontId="21" fillId="22" borderId="1" xfId="0" applyNumberFormat="1" applyFont="1" applyFill="1" applyBorder="1" applyAlignment="1">
      <alignment horizontal="center" vertical="top" wrapText="1"/>
    </xf>
    <xf numFmtId="0" fontId="21" fillId="22" borderId="1" xfId="0" applyFont="1" applyFill="1" applyBorder="1" applyAlignment="1">
      <alignment horizontal="center" vertical="top" wrapText="1"/>
    </xf>
    <xf numFmtId="0" fontId="21" fillId="22" borderId="1" xfId="0" applyFont="1" applyFill="1" applyBorder="1" applyAlignment="1">
      <alignment horizontal="right" vertical="top" wrapText="1"/>
    </xf>
    <xf numFmtId="0" fontId="15" fillId="22" borderId="1" xfId="0" applyFont="1" applyFill="1" applyBorder="1" applyAlignment="1">
      <alignment horizontal="left"/>
    </xf>
    <xf numFmtId="14" fontId="21" fillId="22" borderId="1" xfId="0" applyNumberFormat="1" applyFont="1" applyFill="1" applyBorder="1" applyAlignment="1">
      <alignment horizontal="left" vertical="top" wrapText="1"/>
    </xf>
    <xf numFmtId="166" fontId="15" fillId="22" borderId="1" xfId="0" applyNumberFormat="1" applyFont="1" applyFill="1" applyBorder="1" applyAlignment="1">
      <alignment horizontal="center"/>
    </xf>
    <xf numFmtId="0" fontId="15" fillId="22" borderId="1" xfId="0" applyFont="1" applyFill="1" applyBorder="1" applyAlignment="1">
      <alignment horizontal="center"/>
    </xf>
    <xf numFmtId="0" fontId="15" fillId="22" borderId="1" xfId="0" applyFont="1" applyFill="1" applyBorder="1" applyAlignment="1">
      <alignment horizontal="right"/>
    </xf>
    <xf numFmtId="14" fontId="21" fillId="23" borderId="1" xfId="0" applyNumberFormat="1" applyFont="1" applyFill="1" applyBorder="1" applyAlignment="1">
      <alignment horizontal="left" vertical="top" wrapText="1"/>
    </xf>
    <xf numFmtId="0" fontId="21" fillId="23" borderId="1" xfId="0" applyFont="1" applyFill="1" applyBorder="1" applyAlignment="1">
      <alignment horizontal="left" vertical="top" wrapText="1"/>
    </xf>
    <xf numFmtId="14" fontId="21" fillId="23" borderId="1" xfId="0" applyNumberFormat="1" applyFont="1" applyFill="1" applyBorder="1" applyAlignment="1">
      <alignment horizontal="left" vertical="top"/>
    </xf>
    <xf numFmtId="14" fontId="21" fillId="23" borderId="1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 vertical="top"/>
    </xf>
    <xf numFmtId="0" fontId="1" fillId="22" borderId="1" xfId="0" applyFont="1" applyFill="1" applyBorder="1"/>
    <xf numFmtId="2" fontId="15" fillId="23" borderId="1" xfId="0" applyNumberFormat="1" applyFont="1" applyFill="1" applyBorder="1" applyAlignment="1">
      <alignment horizontal="center"/>
    </xf>
    <xf numFmtId="2" fontId="15" fillId="0" borderId="5" xfId="0" applyNumberFormat="1" applyFont="1" applyBorder="1" applyAlignment="1">
      <alignment horizontal="center"/>
    </xf>
    <xf numFmtId="1" fontId="20" fillId="0" borderId="0" xfId="0" applyNumberFormat="1" applyFont="1" applyAlignment="1">
      <alignment horizontal="center"/>
    </xf>
    <xf numFmtId="174" fontId="12" fillId="0" borderId="8" xfId="0" applyNumberFormat="1" applyFont="1" applyBorder="1" applyAlignment="1">
      <alignment horizontal="center"/>
    </xf>
    <xf numFmtId="174" fontId="12" fillId="0" borderId="8" xfId="0" applyNumberFormat="1" applyFont="1" applyBorder="1" applyAlignment="1">
      <alignment horizontal="right" vertical="center"/>
    </xf>
    <xf numFmtId="2" fontId="15" fillId="9" borderId="0" xfId="0" applyNumberFormat="1" applyFont="1" applyFill="1"/>
    <xf numFmtId="2" fontId="16" fillId="5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right" vertical="center"/>
    </xf>
    <xf numFmtId="174" fontId="12" fillId="0" borderId="0" xfId="0" applyNumberFormat="1" applyFont="1" applyAlignment="1">
      <alignment horizontal="center"/>
    </xf>
    <xf numFmtId="0" fontId="20" fillId="18" borderId="7" xfId="0" applyFont="1" applyFill="1" applyBorder="1" applyAlignment="1">
      <alignment horizontal="left" vertical="center"/>
    </xf>
  </cellXfs>
  <cellStyles count="2">
    <cellStyle name="Normal" xfId="0" builtinId="0"/>
    <cellStyle name="Per cent" xfId="1" builtinId="5"/>
  </cellStyles>
  <dxfs count="11">
    <dxf>
      <numFmt numFmtId="171" formatCode="0.00_ ;[Red]\-0.00\ "/>
    </dxf>
    <dxf>
      <numFmt numFmtId="171" formatCode="0.00_ ;[Red]\-0.00\ "/>
    </dxf>
    <dxf>
      <numFmt numFmtId="171" formatCode="0.00_ ;[Red]\-0.00\ "/>
    </dxf>
    <dxf>
      <numFmt numFmtId="171" formatCode="0.00_ ;[Red]\-0.00\ "/>
      <alignment horizontal="right" vertical="bottom" textRotation="0" wrapText="0" indent="0" justifyLastLine="0" shrinkToFit="0" readingOrder="0"/>
    </dxf>
    <dxf>
      <numFmt numFmtId="171" formatCode="0.00_ ;[Red]\-0.00\ "/>
    </dxf>
    <dxf>
      <numFmt numFmtId="171" formatCode="0.00_ ;[Red]\-0.00\ "/>
    </dxf>
    <dxf>
      <numFmt numFmtId="171" formatCode="0.00_ ;[Red]\-0.00\ "/>
    </dxf>
    <dxf>
      <numFmt numFmtId="171" formatCode="0.00_ ;[Red]\-0.0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CFF00"/>
      <color rgb="FFAAD08E"/>
      <color rgb="FFACB9CA"/>
      <color rgb="FFFD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3640454</xdr:colOff>
      <xdr:row>6</xdr:row>
      <xdr:rowOff>92042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B4862D-41D9-4AD3-BB85-B0439B3E8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3627119" cy="10026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</xdr:rowOff>
    </xdr:from>
    <xdr:to>
      <xdr:col>0</xdr:col>
      <xdr:colOff>3638549</xdr:colOff>
      <xdr:row>5</xdr:row>
      <xdr:rowOff>92043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3E5A80-5A66-7741-6FE7-AA1E051F0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" y="1"/>
          <a:ext cx="3627119" cy="1002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31331</xdr:rowOff>
    </xdr:from>
    <xdr:to>
      <xdr:col>7</xdr:col>
      <xdr:colOff>439984</xdr:colOff>
      <xdr:row>48</xdr:row>
      <xdr:rowOff>67195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60FEB8-BF67-5950-6C56-F2C4271EF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891111"/>
          <a:ext cx="8983980" cy="277906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racy Edwards" id="{927622DC-A7E0-47DD-A4A1-B5CD63613D7E}" userId="S::tracy.edwards@weareacuity.com::a77d0fd8-7718-44dc-9d95-7c9c92dbcb6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3990A-193F-48D1-899E-2D34BAA0E28F}" name="Table1" displayName="Table1" ref="A1:E20" totalsRowCount="1" headerRowDxfId="10" totalsRowDxfId="9">
  <autoFilter ref="A1:E19" xr:uid="{32B3990A-193F-48D1-899E-2D34BAA0E28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0499786-AFB2-4CAA-8200-B5384419B6FD}" name="Year" totalsRowLabel="Total" dataDxfId="8"/>
    <tableColumn id="2" xr3:uid="{91A22A54-655C-4DD0-B73F-582018DE8017}" name="Scope 1 KG of CO2" totalsRowFunction="sum" dataDxfId="7" totalsRowDxfId="6"/>
    <tableColumn id="3" xr3:uid="{29C1E4D9-46AE-4DC9-A43B-82758D6BCA1B}" name="Scope 2 KG of CO2" totalsRowFunction="sum" dataDxfId="5" totalsRowDxfId="4"/>
    <tableColumn id="4" xr3:uid="{26E1E076-5E4C-43C3-90C8-18094BC2B71A}" name="Scope 3 KG of CO2" totalsRowFunction="sum" dataDxfId="3" totalsRowDxfId="2"/>
    <tableColumn id="5" xr3:uid="{DA517FB8-32AA-4452-9F74-6C720E7F97A7}" name="Total KG of CO2" totalsRowFunction="sum" dataDxfId="1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X29" dT="2024-04-17T10:39:05.64" personId="{927622DC-A7E0-47DD-A4A1-B5CD63613D7E}" id="{352B9D8B-A54A-40F7-8C1A-50D829C1AF01}">
    <text>Zero waste as we went back to WFH in Jan '22 - COVID related</text>
  </threadedComment>
  <threadedComment ref="AH30" dT="2023-06-07T15:41:27.60" personId="{927622DC-A7E0-47DD-A4A1-B5CD63613D7E}" id="{9124EC09-D75A-422C-84FD-BB12BB5253BD}">
    <text>Clearing out office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2BCB3-38DF-44C2-9A4E-DF0C50C55DAD}">
  <dimension ref="A1:E20"/>
  <sheetViews>
    <sheetView zoomScale="182" zoomScaleNormal="182" workbookViewId="0">
      <selection activeCell="L7" sqref="L7"/>
    </sheetView>
  </sheetViews>
  <sheetFormatPr baseColWidth="10" defaultColWidth="9.5" defaultRowHeight="15"/>
  <cols>
    <col min="1" max="1" width="11.5" style="61" customWidth="1"/>
    <col min="2" max="4" width="16.5" style="198" bestFit="1" customWidth="1"/>
    <col min="5" max="5" width="14.33203125" style="198" bestFit="1" customWidth="1"/>
    <col min="10" max="10" width="13.5" bestFit="1" customWidth="1"/>
    <col min="11" max="11" width="15.5" bestFit="1" customWidth="1"/>
    <col min="12" max="12" width="12" bestFit="1" customWidth="1"/>
    <col min="13" max="13" width="5" bestFit="1" customWidth="1"/>
    <col min="14" max="15" width="12" bestFit="1" customWidth="1"/>
    <col min="16" max="21" width="15.5" bestFit="1" customWidth="1"/>
    <col min="22" max="24" width="18.83203125" bestFit="1" customWidth="1"/>
  </cols>
  <sheetData>
    <row r="1" spans="1:5" s="61" customFormat="1">
      <c r="A1" s="61" t="s">
        <v>0</v>
      </c>
      <c r="B1" s="197" t="s">
        <v>1</v>
      </c>
      <c r="C1" s="197" t="s">
        <v>2</v>
      </c>
      <c r="D1" s="197" t="s">
        <v>3</v>
      </c>
      <c r="E1" s="197" t="s">
        <v>4</v>
      </c>
    </row>
    <row r="2" spans="1:5" s="61" customFormat="1">
      <c r="A2">
        <v>2022</v>
      </c>
      <c r="B2" s="198">
        <f ca="1">SUM('Quarterly Measurements - 1&amp;2'!S14)</f>
        <v>5337</v>
      </c>
      <c r="C2" s="198">
        <f ca="1">SUM('Quarterly Measurements - 1&amp;2'!S15)</f>
        <v>2612</v>
      </c>
      <c r="D2" s="198">
        <f>SUM('SCOPE 3 - 2022 Business Travel'!D85+'SCOPE 3 - 2022 WFH and commute'!L28)</f>
        <v>10876.074703839289</v>
      </c>
      <c r="E2" s="198">
        <f ca="1">SUM(B2:D2)</f>
        <v>18825.074703839287</v>
      </c>
    </row>
    <row r="3" spans="1:5" s="61" customFormat="1">
      <c r="A3" s="199">
        <v>20.22</v>
      </c>
      <c r="B3" s="211">
        <f ca="1">B2/$E$2</f>
        <v>0.28350485105440476</v>
      </c>
      <c r="C3" s="211">
        <f ca="1">C2/$E$2</f>
        <v>0.13875110941617111</v>
      </c>
      <c r="D3" s="211">
        <f ca="1">D2/$E$2</f>
        <v>0.57774403952942421</v>
      </c>
      <c r="E3" s="211"/>
    </row>
    <row r="4" spans="1:5" s="61" customFormat="1">
      <c r="A4">
        <v>2023</v>
      </c>
      <c r="B4" s="198">
        <f ca="1">SUM('Quarterly Measurements - 1&amp;2'!T14)</f>
        <v>5322</v>
      </c>
      <c r="C4" s="198">
        <f ca="1">SUM('Quarterly Measurements - 1&amp;2'!T15)</f>
        <v>1153</v>
      </c>
      <c r="D4" s="198">
        <f>SUM('SCOPE 3 - 2023 Business Travel'!D78+'SCOPE 3 - 2023 WFH and commute'!L31)</f>
        <v>4292.6594659928796</v>
      </c>
      <c r="E4" s="198">
        <f ca="1">SUM(B4:D4)</f>
        <v>10767.65946599288</v>
      </c>
    </row>
    <row r="5" spans="1:5" s="61" customFormat="1">
      <c r="A5" s="199">
        <v>20.23</v>
      </c>
      <c r="B5" s="211">
        <f ca="1">B4/$E$4</f>
        <v>0.49425782982906225</v>
      </c>
      <c r="C5" s="211">
        <f ca="1">C4/$E$4</f>
        <v>0.10707990939363186</v>
      </c>
      <c r="D5" s="211">
        <f ca="1">D4/$E$4</f>
        <v>0.39866226077730588</v>
      </c>
      <c r="E5" s="198"/>
    </row>
    <row r="6" spans="1:5" s="61" customFormat="1">
      <c r="A6">
        <v>2024</v>
      </c>
      <c r="B6" s="198">
        <f ca="1">SUM('Quarterly Measurements - 1&amp;2'!U14)</f>
        <v>0</v>
      </c>
      <c r="C6" s="198">
        <f>SUM('Quarterly Measurements - 1&amp;2'!U15)</f>
        <v>0</v>
      </c>
      <c r="D6" s="198">
        <f>SUM('SCOPE 3 - 2024 Business Travel'!D74+'SCOPE 3 - 2024 WFH and commute'!L32)</f>
        <v>1710.6864329584405</v>
      </c>
      <c r="E6" s="198">
        <f ca="1">SUBTOTAL(109,B6:D6)</f>
        <v>1710.6864329584405</v>
      </c>
    </row>
    <row r="7" spans="1:5" s="61" customFormat="1">
      <c r="A7" s="199">
        <v>20.239999999999998</v>
      </c>
      <c r="B7" s="211">
        <f ca="1">B6/$E$6</f>
        <v>0</v>
      </c>
      <c r="C7" s="211">
        <f ca="1">C6/$E$6</f>
        <v>0</v>
      </c>
      <c r="D7" s="211">
        <f ca="1">D6/$E$6</f>
        <v>1</v>
      </c>
      <c r="E7" s="198"/>
    </row>
    <row r="8" spans="1:5" s="61" customFormat="1">
      <c r="A8">
        <v>2025</v>
      </c>
      <c r="B8" s="198">
        <f ca="1">SUM('Quarterly Measurements - 1&amp;2'!V14)</f>
        <v>215.31</v>
      </c>
      <c r="C8" s="198">
        <f>SUM('Quarterly Measurements - 1&amp;2'!V15)</f>
        <v>0</v>
      </c>
      <c r="D8" s="198">
        <f>SUM('SCOPE 3 - 2025 BT'!D43+'SCOPE 3 - 2025 WFH'!L32)</f>
        <v>129.82685125340001</v>
      </c>
      <c r="E8" s="198">
        <f t="shared" ref="E8" ca="1" si="0">SUBTOTAL(109,B8:D8)</f>
        <v>345.13685125339998</v>
      </c>
    </row>
    <row r="9" spans="1:5" s="61" customFormat="1">
      <c r="A9" s="199">
        <v>20.25</v>
      </c>
      <c r="B9" s="211">
        <f ca="1">B8/$E$8</f>
        <v>0.62383949792112781</v>
      </c>
      <c r="C9" s="211">
        <f ca="1">C8/$E$8</f>
        <v>0</v>
      </c>
      <c r="D9" s="211">
        <f ca="1">D8/$E$6</f>
        <v>7.5891670590313279E-2</v>
      </c>
      <c r="E9" s="198"/>
    </row>
    <row r="10" spans="1:5">
      <c r="A10">
        <v>2026</v>
      </c>
    </row>
    <row r="11" spans="1:5">
      <c r="A11" s="199">
        <v>20.260000000000002</v>
      </c>
    </row>
    <row r="12" spans="1:5">
      <c r="A12">
        <v>2027</v>
      </c>
    </row>
    <row r="13" spans="1:5">
      <c r="A13" s="199">
        <v>20.27</v>
      </c>
    </row>
    <row r="14" spans="1:5">
      <c r="A14">
        <v>2028</v>
      </c>
    </row>
    <row r="15" spans="1:5">
      <c r="A15" s="199">
        <v>20.28</v>
      </c>
    </row>
    <row r="16" spans="1:5">
      <c r="A16">
        <v>2029</v>
      </c>
    </row>
    <row r="17" spans="1:5">
      <c r="A17" s="199">
        <v>20.29</v>
      </c>
    </row>
    <row r="18" spans="1:5">
      <c r="A18">
        <v>2030</v>
      </c>
    </row>
    <row r="19" spans="1:5">
      <c r="A19" s="199">
        <v>20.3</v>
      </c>
    </row>
    <row r="20" spans="1:5">
      <c r="A20" t="s">
        <v>5</v>
      </c>
      <c r="B20" s="212">
        <f ca="1">SUBTOTAL(109,Table1[Scope 1 KG of CO2])</f>
        <v>10875.711602178802</v>
      </c>
      <c r="C20" s="212">
        <f ca="1">SUBTOTAL(109,Table1[Scope 2 KG of CO2])</f>
        <v>3765.2458310188099</v>
      </c>
      <c r="D20" s="212">
        <f ca="1">SUBTOTAL(109,Table1[Scope 3 KG of CO2])</f>
        <v>17011.299752014904</v>
      </c>
      <c r="E20" s="212">
        <f ca="1">SUBTOTAL(109,Table1[Total KG of CO2])</f>
        <v>29592.734169832169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DA9EA-0563-524A-8BF9-3AA371D77F21}">
  <dimension ref="A1:U63"/>
  <sheetViews>
    <sheetView topLeftCell="A2" workbookViewId="0">
      <selection activeCell="E62" sqref="E62"/>
    </sheetView>
  </sheetViews>
  <sheetFormatPr baseColWidth="10" defaultColWidth="11.5" defaultRowHeight="15"/>
  <cols>
    <col min="17" max="17" width="22.33203125" customWidth="1"/>
    <col min="18" max="18" width="28" customWidth="1"/>
    <col min="19" max="19" width="31.33203125" customWidth="1"/>
  </cols>
  <sheetData>
    <row r="1" spans="1:21" ht="19">
      <c r="B1" s="330" t="s">
        <v>365</v>
      </c>
      <c r="C1" s="330"/>
      <c r="D1" s="330"/>
      <c r="E1" s="330"/>
      <c r="F1" s="330"/>
      <c r="G1" s="330"/>
      <c r="H1" s="330"/>
      <c r="I1" s="268"/>
      <c r="J1" s="269"/>
      <c r="K1" s="270"/>
      <c r="L1" s="267"/>
      <c r="M1" s="267"/>
      <c r="N1" s="267"/>
      <c r="O1" s="267"/>
      <c r="P1" s="267"/>
      <c r="Q1" s="267"/>
      <c r="R1" s="267"/>
      <c r="S1" s="267"/>
      <c r="T1" s="267"/>
      <c r="U1" s="267"/>
    </row>
    <row r="2" spans="1:21" ht="32">
      <c r="A2" s="279" t="s">
        <v>123</v>
      </c>
      <c r="B2" s="280" t="s">
        <v>121</v>
      </c>
      <c r="C2" s="281" t="s">
        <v>122</v>
      </c>
      <c r="D2" s="282" t="s">
        <v>123</v>
      </c>
      <c r="E2" s="282" t="s">
        <v>124</v>
      </c>
      <c r="F2" s="283" t="s">
        <v>125</v>
      </c>
      <c r="G2" s="284" t="s">
        <v>126</v>
      </c>
      <c r="H2" s="284" t="s">
        <v>127</v>
      </c>
      <c r="I2" s="284" t="s">
        <v>128</v>
      </c>
      <c r="J2" s="284" t="s">
        <v>129</v>
      </c>
      <c r="K2" s="285" t="s">
        <v>366</v>
      </c>
      <c r="L2" s="283" t="s">
        <v>310</v>
      </c>
      <c r="M2" s="286" t="s">
        <v>76</v>
      </c>
      <c r="N2" s="267"/>
      <c r="O2" s="267"/>
    </row>
    <row r="3" spans="1:21">
      <c r="A3" s="61"/>
      <c r="B3" s="272"/>
      <c r="C3" s="272"/>
      <c r="D3" s="272"/>
      <c r="E3" s="272"/>
      <c r="F3" s="273"/>
      <c r="G3" s="274"/>
      <c r="H3" s="274"/>
      <c r="I3" s="274"/>
      <c r="J3" s="274"/>
      <c r="K3" s="287"/>
      <c r="L3" s="273"/>
      <c r="M3" s="273"/>
      <c r="N3" s="267"/>
      <c r="O3" s="267"/>
    </row>
    <row r="4" spans="1:21">
      <c r="A4" s="318" t="s">
        <v>367</v>
      </c>
      <c r="B4" s="304"/>
      <c r="C4" s="304"/>
      <c r="D4" s="304"/>
      <c r="E4" s="304"/>
      <c r="F4" s="305"/>
      <c r="G4" s="306"/>
      <c r="H4" s="306"/>
      <c r="I4" s="306"/>
      <c r="J4" s="306"/>
      <c r="K4" s="307"/>
      <c r="L4" s="305"/>
      <c r="M4" s="305"/>
      <c r="N4" s="267"/>
      <c r="O4" s="267"/>
    </row>
    <row r="5" spans="1:21" ht="19">
      <c r="A5" s="275"/>
      <c r="B5" s="293">
        <v>1</v>
      </c>
      <c r="C5" s="293" t="s">
        <v>234</v>
      </c>
      <c r="D5" s="294">
        <v>45685</v>
      </c>
      <c r="E5" s="295" t="s">
        <v>368</v>
      </c>
      <c r="F5" s="295">
        <v>2</v>
      </c>
      <c r="G5" s="296" t="s">
        <v>224</v>
      </c>
      <c r="H5" s="296" t="s">
        <v>144</v>
      </c>
      <c r="I5" s="297" t="s">
        <v>369</v>
      </c>
      <c r="J5" s="296" t="s">
        <v>137</v>
      </c>
      <c r="K5" s="297">
        <v>3</v>
      </c>
      <c r="L5" s="323">
        <v>0.18673999999999999</v>
      </c>
      <c r="M5" s="298">
        <f>K5*L5*B5</f>
        <v>0.56021999999999994</v>
      </c>
      <c r="N5" s="324">
        <f>SUM(M5)</f>
        <v>0.56021999999999994</v>
      </c>
      <c r="O5" s="267"/>
      <c r="Q5" s="259" t="s">
        <v>370</v>
      </c>
    </row>
    <row r="6" spans="1:21">
      <c r="A6" s="61"/>
      <c r="B6" s="276"/>
      <c r="C6" s="276"/>
      <c r="D6" s="277"/>
      <c r="E6" s="295"/>
      <c r="F6" s="268"/>
      <c r="G6" s="269"/>
      <c r="H6" s="269"/>
      <c r="I6" s="272"/>
      <c r="J6" s="269"/>
      <c r="K6" s="272"/>
      <c r="L6" s="270"/>
      <c r="M6" s="299"/>
      <c r="N6" s="267"/>
      <c r="O6" s="267"/>
    </row>
    <row r="7" spans="1:21">
      <c r="A7" s="318" t="s">
        <v>371</v>
      </c>
      <c r="B7" s="308"/>
      <c r="C7" s="308"/>
      <c r="D7" s="309"/>
      <c r="E7" s="310"/>
      <c r="F7" s="310"/>
      <c r="G7" s="311"/>
      <c r="H7" s="311"/>
      <c r="I7" s="304"/>
      <c r="J7" s="311"/>
      <c r="K7" s="304"/>
      <c r="L7" s="312"/>
      <c r="M7" s="319"/>
      <c r="N7" s="267"/>
      <c r="O7" s="267"/>
      <c r="Q7" t="s">
        <v>314</v>
      </c>
      <c r="R7" t="s">
        <v>315</v>
      </c>
    </row>
    <row r="8" spans="1:21" ht="16">
      <c r="A8" s="275"/>
      <c r="B8" s="293">
        <v>1</v>
      </c>
      <c r="C8" s="293" t="s">
        <v>234</v>
      </c>
      <c r="D8" s="294">
        <v>45700</v>
      </c>
      <c r="E8" s="295" t="s">
        <v>368</v>
      </c>
      <c r="F8" s="295">
        <v>2</v>
      </c>
      <c r="G8" s="296" t="s">
        <v>224</v>
      </c>
      <c r="H8" s="296" t="s">
        <v>144</v>
      </c>
      <c r="I8" s="297" t="s">
        <v>372</v>
      </c>
      <c r="J8" s="296" t="s">
        <v>137</v>
      </c>
      <c r="K8" s="297">
        <v>10</v>
      </c>
      <c r="L8" s="323">
        <v>0.18673999999999999</v>
      </c>
      <c r="M8" s="298">
        <f t="shared" ref="M8:M46" si="0">K8*L8*B8</f>
        <v>1.8673999999999999</v>
      </c>
      <c r="N8" s="324">
        <f>SUM(M8)</f>
        <v>1.8673999999999999</v>
      </c>
      <c r="O8" s="267"/>
      <c r="Q8" t="s">
        <v>319</v>
      </c>
      <c r="R8" t="s">
        <v>320</v>
      </c>
      <c r="S8" s="322">
        <v>0.18204999999999999</v>
      </c>
    </row>
    <row r="9" spans="1:21">
      <c r="A9" s="61"/>
      <c r="B9" s="276"/>
      <c r="C9" s="276"/>
      <c r="D9" s="277"/>
      <c r="E9" s="295"/>
      <c r="F9" s="268"/>
      <c r="G9" s="269"/>
      <c r="H9" s="269"/>
      <c r="I9" s="272"/>
      <c r="J9" s="269"/>
      <c r="K9" s="272"/>
      <c r="L9" s="270"/>
      <c r="M9" s="299"/>
      <c r="N9" s="267"/>
      <c r="O9" s="267"/>
      <c r="Q9" t="s">
        <v>321</v>
      </c>
      <c r="R9" t="s">
        <v>373</v>
      </c>
      <c r="S9" s="322">
        <v>0.18673999999999999</v>
      </c>
    </row>
    <row r="10" spans="1:21">
      <c r="A10" s="318" t="s">
        <v>323</v>
      </c>
      <c r="B10" s="308"/>
      <c r="C10" s="308"/>
      <c r="D10" s="313"/>
      <c r="E10" s="310"/>
      <c r="F10" s="310"/>
      <c r="G10" s="311"/>
      <c r="H10" s="311"/>
      <c r="I10" s="314"/>
      <c r="J10" s="311"/>
      <c r="K10" s="314"/>
      <c r="L10" s="312"/>
      <c r="M10" s="319"/>
      <c r="N10" s="267"/>
      <c r="O10" s="267"/>
      <c r="Q10" t="s">
        <v>324</v>
      </c>
      <c r="R10" t="s">
        <v>325</v>
      </c>
      <c r="S10" s="322">
        <v>0.24956</v>
      </c>
    </row>
    <row r="11" spans="1:21" ht="16">
      <c r="A11" s="275"/>
      <c r="B11" s="293">
        <v>1</v>
      </c>
      <c r="C11" s="293" t="s">
        <v>234</v>
      </c>
      <c r="D11" s="294">
        <v>45729</v>
      </c>
      <c r="E11" s="295" t="s">
        <v>368</v>
      </c>
      <c r="F11" s="295">
        <v>2</v>
      </c>
      <c r="G11" s="296" t="s">
        <v>224</v>
      </c>
      <c r="H11" s="296" t="s">
        <v>144</v>
      </c>
      <c r="I11" s="297" t="s">
        <v>374</v>
      </c>
      <c r="J11" s="296" t="s">
        <v>137</v>
      </c>
      <c r="K11" s="297">
        <v>10</v>
      </c>
      <c r="L11" s="323">
        <v>0.18673999999999999</v>
      </c>
      <c r="M11" s="298">
        <f t="shared" si="0"/>
        <v>1.8673999999999999</v>
      </c>
      <c r="N11" s="324">
        <f>SUM(M11:M13)</f>
        <v>39.962359999999997</v>
      </c>
      <c r="O11" s="267"/>
    </row>
    <row r="12" spans="1:21" ht="19">
      <c r="A12" s="275"/>
      <c r="B12" s="293">
        <v>1</v>
      </c>
      <c r="C12" s="293" t="s">
        <v>234</v>
      </c>
      <c r="D12" s="294">
        <v>45733</v>
      </c>
      <c r="E12" s="295" t="s">
        <v>368</v>
      </c>
      <c r="F12" s="295">
        <v>2</v>
      </c>
      <c r="G12" s="296" t="s">
        <v>224</v>
      </c>
      <c r="H12" s="296" t="s">
        <v>144</v>
      </c>
      <c r="I12" s="297" t="s">
        <v>354</v>
      </c>
      <c r="J12" s="296" t="s">
        <v>137</v>
      </c>
      <c r="K12" s="297">
        <v>192</v>
      </c>
      <c r="L12" s="323">
        <v>0.18673999999999999</v>
      </c>
      <c r="M12" s="298">
        <f t="shared" si="0"/>
        <v>35.854079999999996</v>
      </c>
      <c r="N12" s="270"/>
      <c r="O12" s="267"/>
      <c r="Q12" s="259" t="s">
        <v>375</v>
      </c>
    </row>
    <row r="13" spans="1:21" ht="16">
      <c r="A13" s="275"/>
      <c r="B13" s="293">
        <v>1</v>
      </c>
      <c r="C13" s="293" t="s">
        <v>234</v>
      </c>
      <c r="D13" s="294">
        <v>45741</v>
      </c>
      <c r="E13" s="295" t="s">
        <v>368</v>
      </c>
      <c r="F13" s="295">
        <v>2</v>
      </c>
      <c r="G13" s="296" t="s">
        <v>224</v>
      </c>
      <c r="H13" s="296" t="s">
        <v>144</v>
      </c>
      <c r="I13" s="297" t="s">
        <v>376</v>
      </c>
      <c r="J13" s="296" t="s">
        <v>137</v>
      </c>
      <c r="K13" s="297">
        <v>12</v>
      </c>
      <c r="L13" s="323">
        <v>0.18673999999999999</v>
      </c>
      <c r="M13" s="298">
        <f t="shared" si="0"/>
        <v>2.2408799999999998</v>
      </c>
      <c r="N13" s="267"/>
      <c r="O13" s="267"/>
    </row>
    <row r="14" spans="1:21">
      <c r="A14" s="61"/>
      <c r="B14" s="276"/>
      <c r="C14" s="276"/>
      <c r="D14" s="277"/>
      <c r="E14" s="295"/>
      <c r="F14" s="268"/>
      <c r="G14" s="269"/>
      <c r="H14" s="269"/>
      <c r="I14" s="272"/>
      <c r="J14" s="269"/>
      <c r="K14" s="272"/>
      <c r="L14" s="270"/>
      <c r="M14" s="299"/>
      <c r="N14" s="267"/>
      <c r="O14" s="267"/>
      <c r="Q14" t="s">
        <v>314</v>
      </c>
      <c r="R14" t="s">
        <v>315</v>
      </c>
    </row>
    <row r="15" spans="1:21">
      <c r="A15" s="318" t="s">
        <v>153</v>
      </c>
      <c r="B15" s="308"/>
      <c r="C15" s="308"/>
      <c r="D15" s="313"/>
      <c r="E15" s="310"/>
      <c r="F15" s="310"/>
      <c r="G15" s="311"/>
      <c r="H15" s="311"/>
      <c r="I15" s="314"/>
      <c r="J15" s="311"/>
      <c r="K15" s="314"/>
      <c r="L15" s="312"/>
      <c r="M15" s="319"/>
      <c r="N15" s="267"/>
      <c r="O15" s="267"/>
      <c r="Q15" t="s">
        <v>319</v>
      </c>
      <c r="R15" t="s">
        <v>377</v>
      </c>
      <c r="S15" s="322">
        <v>0.22917999999999999</v>
      </c>
    </row>
    <row r="16" spans="1:21" ht="16">
      <c r="A16" s="275"/>
      <c r="B16" s="293">
        <v>1</v>
      </c>
      <c r="C16" s="293" t="s">
        <v>234</v>
      </c>
      <c r="D16" s="300" t="s">
        <v>378</v>
      </c>
      <c r="E16" s="295" t="s">
        <v>368</v>
      </c>
      <c r="F16" s="295">
        <v>2</v>
      </c>
      <c r="G16" s="296" t="s">
        <v>224</v>
      </c>
      <c r="H16" s="296" t="s">
        <v>144</v>
      </c>
      <c r="I16" s="297" t="s">
        <v>379</v>
      </c>
      <c r="J16" s="296" t="s">
        <v>137</v>
      </c>
      <c r="K16" s="297">
        <v>206</v>
      </c>
      <c r="L16" s="323">
        <v>0.18673999999999999</v>
      </c>
      <c r="M16" s="298">
        <f t="shared" si="0"/>
        <v>38.468440000000001</v>
      </c>
      <c r="N16" s="324">
        <f>SUM(M16)</f>
        <v>38.468440000000001</v>
      </c>
      <c r="O16" s="267"/>
      <c r="Q16" t="s">
        <v>321</v>
      </c>
      <c r="R16" t="s">
        <v>322</v>
      </c>
      <c r="S16" s="322">
        <v>0.28011999999999998</v>
      </c>
    </row>
    <row r="17" spans="1:19">
      <c r="A17" s="61"/>
      <c r="B17" s="276"/>
      <c r="C17" s="276"/>
      <c r="D17" s="317"/>
      <c r="E17" s="295"/>
      <c r="F17" s="268"/>
      <c r="G17" s="269"/>
      <c r="H17" s="269"/>
      <c r="I17" s="272"/>
      <c r="J17" s="269"/>
      <c r="K17" s="272"/>
      <c r="L17" s="270"/>
      <c r="M17" s="299"/>
      <c r="N17" s="270"/>
      <c r="O17" s="267"/>
      <c r="Q17" t="s">
        <v>324</v>
      </c>
      <c r="R17" t="s">
        <v>380</v>
      </c>
      <c r="S17" s="322">
        <v>0.43065999999999999</v>
      </c>
    </row>
    <row r="18" spans="1:19">
      <c r="A18" s="318" t="s">
        <v>268</v>
      </c>
      <c r="B18" s="308"/>
      <c r="C18" s="308"/>
      <c r="D18" s="315"/>
      <c r="E18" s="310"/>
      <c r="F18" s="310"/>
      <c r="G18" s="311"/>
      <c r="H18" s="311"/>
      <c r="I18" s="314"/>
      <c r="J18" s="311"/>
      <c r="K18" s="314"/>
      <c r="L18" s="312"/>
      <c r="M18" s="319"/>
      <c r="N18" s="270"/>
      <c r="O18" s="267"/>
    </row>
    <row r="19" spans="1:19" ht="16">
      <c r="A19" s="275"/>
      <c r="B19" s="293">
        <v>1</v>
      </c>
      <c r="C19" s="293" t="s">
        <v>234</v>
      </c>
      <c r="D19" s="301">
        <v>45792</v>
      </c>
      <c r="E19" s="295" t="s">
        <v>368</v>
      </c>
      <c r="F19" s="295">
        <v>2</v>
      </c>
      <c r="G19" s="296" t="s">
        <v>224</v>
      </c>
      <c r="H19" s="296" t="s">
        <v>144</v>
      </c>
      <c r="I19" s="297" t="s">
        <v>353</v>
      </c>
      <c r="J19" s="296" t="s">
        <v>137</v>
      </c>
      <c r="K19" s="297">
        <v>22</v>
      </c>
      <c r="L19" s="323">
        <v>0.18673999999999999</v>
      </c>
      <c r="M19" s="298">
        <f t="shared" si="0"/>
        <v>4.1082799999999997</v>
      </c>
      <c r="N19" s="324">
        <f>SUM(M19:M20)</f>
        <v>39.962359999999997</v>
      </c>
      <c r="O19" s="267"/>
    </row>
    <row r="20" spans="1:19" ht="16">
      <c r="A20" s="275"/>
      <c r="B20" s="293">
        <v>1</v>
      </c>
      <c r="C20" s="293" t="s">
        <v>234</v>
      </c>
      <c r="D20" s="301">
        <v>45804</v>
      </c>
      <c r="E20" s="295" t="s">
        <v>368</v>
      </c>
      <c r="F20" s="295">
        <v>2</v>
      </c>
      <c r="G20" s="296" t="s">
        <v>224</v>
      </c>
      <c r="H20" s="296" t="s">
        <v>144</v>
      </c>
      <c r="I20" s="297" t="s">
        <v>354</v>
      </c>
      <c r="J20" s="296" t="s">
        <v>137</v>
      </c>
      <c r="K20" s="297">
        <v>192</v>
      </c>
      <c r="L20" s="323">
        <v>0.18673999999999999</v>
      </c>
      <c r="M20" s="298">
        <f t="shared" si="0"/>
        <v>35.854079999999996</v>
      </c>
      <c r="N20" s="267"/>
      <c r="O20" s="267"/>
    </row>
    <row r="21" spans="1:19">
      <c r="A21" s="61"/>
      <c r="B21" s="276"/>
      <c r="C21" s="276"/>
      <c r="D21" s="289"/>
      <c r="E21" s="295"/>
      <c r="F21" s="268"/>
      <c r="G21" s="269"/>
      <c r="H21" s="269"/>
      <c r="I21" s="272"/>
      <c r="J21" s="269"/>
      <c r="K21" s="272"/>
      <c r="L21" s="270"/>
      <c r="M21" s="299"/>
      <c r="N21" s="267"/>
      <c r="O21" s="267"/>
    </row>
    <row r="22" spans="1:19">
      <c r="A22" s="318" t="s">
        <v>198</v>
      </c>
      <c r="B22" s="308"/>
      <c r="C22" s="308"/>
      <c r="D22" s="316"/>
      <c r="E22" s="310"/>
      <c r="F22" s="310"/>
      <c r="G22" s="311"/>
      <c r="H22" s="311"/>
      <c r="I22" s="314"/>
      <c r="J22" s="311"/>
      <c r="K22" s="314"/>
      <c r="L22" s="312"/>
      <c r="M22" s="319"/>
      <c r="N22" s="267"/>
      <c r="O22" s="267"/>
    </row>
    <row r="23" spans="1:19">
      <c r="A23" s="275"/>
      <c r="B23" s="293">
        <v>1</v>
      </c>
      <c r="C23" s="293" t="s">
        <v>234</v>
      </c>
      <c r="D23" s="301">
        <v>45811</v>
      </c>
      <c r="E23" s="295" t="s">
        <v>368</v>
      </c>
      <c r="F23" s="295">
        <v>2</v>
      </c>
      <c r="G23" s="296" t="s">
        <v>224</v>
      </c>
      <c r="H23" s="296" t="s">
        <v>144</v>
      </c>
      <c r="I23" s="302" t="s">
        <v>381</v>
      </c>
      <c r="J23" s="296" t="s">
        <v>137</v>
      </c>
      <c r="K23" s="303">
        <v>13</v>
      </c>
      <c r="L23" s="323">
        <v>0.18673999999999999</v>
      </c>
      <c r="M23" s="298">
        <f t="shared" si="0"/>
        <v>2.4276199999999997</v>
      </c>
      <c r="N23" s="324">
        <f>SUM(M23:M25)</f>
        <v>14.752459999999997</v>
      </c>
      <c r="O23" s="267"/>
    </row>
    <row r="24" spans="1:19">
      <c r="A24" s="275"/>
      <c r="B24" s="293">
        <v>1</v>
      </c>
      <c r="C24" s="293" t="s">
        <v>234</v>
      </c>
      <c r="D24" s="301">
        <v>45817</v>
      </c>
      <c r="E24" s="295" t="s">
        <v>368</v>
      </c>
      <c r="F24" s="295">
        <v>2</v>
      </c>
      <c r="G24" s="296" t="s">
        <v>224</v>
      </c>
      <c r="H24" s="296" t="s">
        <v>144</v>
      </c>
      <c r="I24" s="302" t="s">
        <v>382</v>
      </c>
      <c r="J24" s="296" t="s">
        <v>137</v>
      </c>
      <c r="K24" s="303">
        <v>53</v>
      </c>
      <c r="L24" s="323">
        <v>0.18673999999999999</v>
      </c>
      <c r="M24" s="298">
        <f t="shared" si="0"/>
        <v>9.897219999999999</v>
      </c>
      <c r="N24" s="267"/>
      <c r="O24" s="267"/>
    </row>
    <row r="25" spans="1:19" ht="16">
      <c r="A25" s="275"/>
      <c r="B25" s="293">
        <v>1</v>
      </c>
      <c r="C25" s="293" t="s">
        <v>234</v>
      </c>
      <c r="D25" s="301">
        <v>45819</v>
      </c>
      <c r="E25" s="295" t="s">
        <v>368</v>
      </c>
      <c r="F25" s="295">
        <v>2</v>
      </c>
      <c r="G25" s="296" t="s">
        <v>224</v>
      </c>
      <c r="H25" s="296" t="s">
        <v>144</v>
      </c>
      <c r="I25" s="297" t="s">
        <v>351</v>
      </c>
      <c r="J25" s="296" t="s">
        <v>137</v>
      </c>
      <c r="K25" s="297">
        <v>13</v>
      </c>
      <c r="L25" s="323">
        <v>0.18673999999999999</v>
      </c>
      <c r="M25" s="298">
        <f t="shared" si="0"/>
        <v>2.4276199999999997</v>
      </c>
      <c r="N25" s="267"/>
      <c r="O25" s="267"/>
    </row>
    <row r="26" spans="1:19">
      <c r="A26" s="61"/>
      <c r="B26" s="276"/>
      <c r="C26" s="276"/>
      <c r="D26" s="289"/>
      <c r="E26" s="295"/>
      <c r="F26" s="268"/>
      <c r="G26" s="269"/>
      <c r="H26" s="269"/>
      <c r="I26" s="272"/>
      <c r="J26" s="269"/>
      <c r="K26" s="272"/>
      <c r="L26" s="270"/>
      <c r="M26" s="299"/>
      <c r="N26" s="267"/>
      <c r="O26" s="267"/>
    </row>
    <row r="27" spans="1:19">
      <c r="A27" s="318" t="s">
        <v>383</v>
      </c>
      <c r="B27" s="308"/>
      <c r="C27" s="308"/>
      <c r="D27" s="316"/>
      <c r="E27" s="310"/>
      <c r="F27" s="310"/>
      <c r="G27" s="311"/>
      <c r="H27" s="311"/>
      <c r="I27" s="314"/>
      <c r="J27" s="311"/>
      <c r="K27" s="314"/>
      <c r="L27" s="312"/>
      <c r="M27" s="319"/>
      <c r="N27" s="267"/>
      <c r="O27" s="267"/>
    </row>
    <row r="28" spans="1:19" ht="16">
      <c r="A28" s="275"/>
      <c r="B28" s="293">
        <v>1</v>
      </c>
      <c r="C28" s="293" t="s">
        <v>234</v>
      </c>
      <c r="D28" s="301">
        <v>45846</v>
      </c>
      <c r="E28" s="295" t="s">
        <v>368</v>
      </c>
      <c r="F28" s="295">
        <v>2</v>
      </c>
      <c r="G28" s="296" t="s">
        <v>224</v>
      </c>
      <c r="H28" s="296" t="s">
        <v>144</v>
      </c>
      <c r="I28" s="297" t="s">
        <v>376</v>
      </c>
      <c r="J28" s="296" t="s">
        <v>137</v>
      </c>
      <c r="K28" s="297">
        <v>12</v>
      </c>
      <c r="L28" s="323">
        <v>0.18673999999999999</v>
      </c>
      <c r="M28" s="298">
        <f t="shared" si="0"/>
        <v>2.2408799999999998</v>
      </c>
      <c r="N28" s="324">
        <f>SUM(M28)</f>
        <v>2.2408799999999998</v>
      </c>
      <c r="O28" s="267"/>
    </row>
    <row r="29" spans="1:19">
      <c r="A29" s="61"/>
      <c r="B29" s="276"/>
      <c r="C29" s="276"/>
      <c r="D29" s="289"/>
      <c r="E29" s="295"/>
      <c r="F29" s="268"/>
      <c r="G29" s="269"/>
      <c r="H29" s="269"/>
      <c r="I29" s="272"/>
      <c r="J29" s="269"/>
      <c r="K29" s="272"/>
      <c r="L29" s="270"/>
      <c r="M29" s="299"/>
      <c r="N29" s="267"/>
      <c r="O29" s="267"/>
    </row>
    <row r="30" spans="1:19">
      <c r="A30" s="318" t="s">
        <v>384</v>
      </c>
      <c r="B30" s="308"/>
      <c r="C30" s="308"/>
      <c r="D30" s="316"/>
      <c r="E30" s="310"/>
      <c r="F30" s="310"/>
      <c r="G30" s="311"/>
      <c r="H30" s="311"/>
      <c r="I30" s="314"/>
      <c r="J30" s="311"/>
      <c r="K30" s="314"/>
      <c r="L30" s="312"/>
      <c r="M30" s="319"/>
      <c r="N30" s="267"/>
      <c r="O30" s="267"/>
    </row>
    <row r="31" spans="1:19">
      <c r="A31" s="275"/>
      <c r="B31" s="293">
        <v>1</v>
      </c>
      <c r="C31" s="293" t="s">
        <v>234</v>
      </c>
      <c r="D31" s="301"/>
      <c r="E31" s="295" t="s">
        <v>368</v>
      </c>
      <c r="F31" s="295">
        <v>2</v>
      </c>
      <c r="G31" s="296" t="s">
        <v>224</v>
      </c>
      <c r="H31" s="296" t="s">
        <v>144</v>
      </c>
      <c r="I31" s="297"/>
      <c r="J31" s="296"/>
      <c r="K31" s="297"/>
      <c r="L31" s="323">
        <v>0.18673999999999999</v>
      </c>
      <c r="M31" s="298">
        <f t="shared" si="0"/>
        <v>0</v>
      </c>
      <c r="N31" s="324">
        <f>SUM(M31)</f>
        <v>0</v>
      </c>
      <c r="O31" s="267"/>
    </row>
    <row r="32" spans="1:19">
      <c r="A32" s="61"/>
      <c r="B32" s="276"/>
      <c r="C32" s="276"/>
      <c r="D32" s="289"/>
      <c r="E32" s="295"/>
      <c r="F32" s="268"/>
      <c r="G32" s="269"/>
      <c r="H32" s="269"/>
      <c r="I32" s="272"/>
      <c r="J32" s="269"/>
      <c r="K32" s="272"/>
      <c r="L32" s="270"/>
      <c r="M32" s="299"/>
      <c r="N32" s="267"/>
      <c r="O32" s="267"/>
    </row>
    <row r="33" spans="1:21">
      <c r="A33" s="318" t="s">
        <v>385</v>
      </c>
      <c r="B33" s="308"/>
      <c r="C33" s="308"/>
      <c r="D33" s="316"/>
      <c r="E33" s="310"/>
      <c r="F33" s="310"/>
      <c r="G33" s="311"/>
      <c r="H33" s="311"/>
      <c r="I33" s="314"/>
      <c r="J33" s="311"/>
      <c r="K33" s="314"/>
      <c r="L33" s="312"/>
      <c r="M33" s="319"/>
      <c r="N33" s="267"/>
      <c r="O33" s="267"/>
    </row>
    <row r="34" spans="1:21">
      <c r="A34" s="275"/>
      <c r="B34" s="293">
        <v>1</v>
      </c>
      <c r="C34" s="293" t="s">
        <v>234</v>
      </c>
      <c r="D34" s="301"/>
      <c r="E34" s="295" t="s">
        <v>368</v>
      </c>
      <c r="F34" s="295">
        <v>2</v>
      </c>
      <c r="G34" s="296" t="s">
        <v>224</v>
      </c>
      <c r="H34" s="296" t="s">
        <v>144</v>
      </c>
      <c r="I34" s="297"/>
      <c r="J34" s="296"/>
      <c r="K34" s="297"/>
      <c r="L34" s="323">
        <v>0.18673999999999999</v>
      </c>
      <c r="M34" s="298">
        <f t="shared" si="0"/>
        <v>0</v>
      </c>
      <c r="N34" s="324">
        <f>SUM(M34)</f>
        <v>0</v>
      </c>
      <c r="O34" s="267"/>
    </row>
    <row r="35" spans="1:21">
      <c r="A35" s="61"/>
      <c r="B35" s="276"/>
      <c r="C35" s="276"/>
      <c r="D35" s="289"/>
      <c r="E35" s="295"/>
      <c r="F35" s="268"/>
      <c r="G35" s="269"/>
      <c r="H35" s="269"/>
      <c r="I35" s="272"/>
      <c r="J35" s="269"/>
      <c r="K35" s="272"/>
      <c r="L35" s="270"/>
      <c r="M35" s="299"/>
      <c r="N35" s="267"/>
      <c r="O35" s="267"/>
    </row>
    <row r="36" spans="1:21">
      <c r="A36" s="318" t="s">
        <v>386</v>
      </c>
      <c r="B36" s="308"/>
      <c r="C36" s="308"/>
      <c r="D36" s="316"/>
      <c r="E36" s="310"/>
      <c r="F36" s="310"/>
      <c r="G36" s="311"/>
      <c r="H36" s="311"/>
      <c r="I36" s="314"/>
      <c r="J36" s="311"/>
      <c r="K36" s="314"/>
      <c r="L36" s="312"/>
      <c r="M36" s="319"/>
      <c r="N36" s="267"/>
      <c r="O36" s="267"/>
    </row>
    <row r="37" spans="1:21" ht="16">
      <c r="A37" s="275"/>
      <c r="B37" s="293">
        <v>1</v>
      </c>
      <c r="C37" s="293" t="s">
        <v>234</v>
      </c>
      <c r="D37" s="301">
        <v>45944</v>
      </c>
      <c r="E37" s="295" t="s">
        <v>368</v>
      </c>
      <c r="F37" s="295">
        <v>2</v>
      </c>
      <c r="G37" s="296" t="s">
        <v>224</v>
      </c>
      <c r="H37" s="296" t="s">
        <v>144</v>
      </c>
      <c r="I37" s="297" t="s">
        <v>387</v>
      </c>
      <c r="J37" s="296" t="s">
        <v>137</v>
      </c>
      <c r="K37" s="297">
        <v>17</v>
      </c>
      <c r="L37" s="323">
        <v>0.18673999999999999</v>
      </c>
      <c r="M37" s="298">
        <f t="shared" ref="M37" si="1">K37*L37*B37</f>
        <v>3.1745799999999997</v>
      </c>
      <c r="N37" s="324">
        <f>SUM(M37:M40)</f>
        <v>77.497099999999989</v>
      </c>
      <c r="O37" s="267"/>
    </row>
    <row r="38" spans="1:21" ht="16">
      <c r="A38" s="275"/>
      <c r="B38" s="293">
        <v>1</v>
      </c>
      <c r="C38" s="293" t="s">
        <v>234</v>
      </c>
      <c r="D38" s="301">
        <v>45945</v>
      </c>
      <c r="E38" s="295" t="s">
        <v>368</v>
      </c>
      <c r="F38" s="295">
        <v>2</v>
      </c>
      <c r="G38" s="296" t="s">
        <v>224</v>
      </c>
      <c r="H38" s="296" t="s">
        <v>144</v>
      </c>
      <c r="I38" s="297" t="s">
        <v>354</v>
      </c>
      <c r="J38" s="296" t="s">
        <v>388</v>
      </c>
      <c r="K38" s="297">
        <v>96</v>
      </c>
      <c r="L38" s="323">
        <v>0.18673999999999999</v>
      </c>
      <c r="M38" s="298">
        <f t="shared" si="0"/>
        <v>17.927039999999998</v>
      </c>
      <c r="N38" s="267"/>
      <c r="O38" s="267"/>
    </row>
    <row r="39" spans="1:21" ht="16">
      <c r="A39" s="275"/>
      <c r="B39" s="293">
        <v>1</v>
      </c>
      <c r="C39" s="293" t="s">
        <v>234</v>
      </c>
      <c r="D39" s="301">
        <v>45946</v>
      </c>
      <c r="E39" s="295" t="s">
        <v>368</v>
      </c>
      <c r="F39" s="295">
        <v>2</v>
      </c>
      <c r="G39" s="296" t="s">
        <v>224</v>
      </c>
      <c r="H39" s="296" t="s">
        <v>144</v>
      </c>
      <c r="I39" s="297" t="s">
        <v>354</v>
      </c>
      <c r="J39" s="296" t="s">
        <v>388</v>
      </c>
      <c r="K39" s="297">
        <v>96</v>
      </c>
      <c r="L39" s="323">
        <v>0.18673999999999999</v>
      </c>
      <c r="M39" s="298">
        <f t="shared" si="0"/>
        <v>17.927039999999998</v>
      </c>
      <c r="N39" s="267"/>
      <c r="O39" s="267"/>
    </row>
    <row r="40" spans="1:21" ht="16">
      <c r="A40" s="275"/>
      <c r="B40" s="293">
        <v>1</v>
      </c>
      <c r="C40" s="293" t="s">
        <v>234</v>
      </c>
      <c r="D40" s="301">
        <v>45947</v>
      </c>
      <c r="E40" s="295" t="s">
        <v>368</v>
      </c>
      <c r="F40" s="295">
        <v>2</v>
      </c>
      <c r="G40" s="296" t="s">
        <v>224</v>
      </c>
      <c r="H40" s="296" t="s">
        <v>144</v>
      </c>
      <c r="I40" s="297" t="s">
        <v>379</v>
      </c>
      <c r="J40" s="296" t="s">
        <v>137</v>
      </c>
      <c r="K40" s="297">
        <v>206</v>
      </c>
      <c r="L40" s="323">
        <v>0.18673999999999999</v>
      </c>
      <c r="M40" s="298">
        <f t="shared" si="0"/>
        <v>38.468440000000001</v>
      </c>
      <c r="N40" s="267"/>
      <c r="O40" s="267"/>
    </row>
    <row r="41" spans="1:21">
      <c r="A41" s="61"/>
      <c r="B41" s="276"/>
      <c r="C41" s="276"/>
      <c r="D41" s="289"/>
      <c r="E41" s="295"/>
      <c r="F41" s="268"/>
      <c r="G41" s="269"/>
      <c r="H41" s="269"/>
      <c r="I41" s="272"/>
      <c r="J41" s="269"/>
      <c r="K41" s="272"/>
      <c r="L41" s="270"/>
      <c r="M41" s="320"/>
      <c r="N41" s="267"/>
      <c r="O41" s="267"/>
    </row>
    <row r="42" spans="1:21">
      <c r="A42" s="318" t="s">
        <v>389</v>
      </c>
      <c r="B42" s="308"/>
      <c r="C42" s="308"/>
      <c r="D42" s="316"/>
      <c r="E42" s="310"/>
      <c r="F42" s="310"/>
      <c r="G42" s="311"/>
      <c r="H42" s="311"/>
      <c r="I42" s="314"/>
      <c r="J42" s="311"/>
      <c r="K42" s="314"/>
      <c r="L42" s="312"/>
      <c r="M42" s="319"/>
      <c r="N42" s="267"/>
      <c r="O42" s="267"/>
    </row>
    <row r="43" spans="1:21">
      <c r="A43" s="275"/>
      <c r="B43" s="293">
        <v>1</v>
      </c>
      <c r="C43" s="293" t="s">
        <v>234</v>
      </c>
      <c r="D43" s="301"/>
      <c r="E43" s="295" t="s">
        <v>368</v>
      </c>
      <c r="F43" s="295">
        <v>2</v>
      </c>
      <c r="G43" s="296" t="s">
        <v>224</v>
      </c>
      <c r="H43" s="296" t="s">
        <v>144</v>
      </c>
      <c r="I43" s="297"/>
      <c r="J43" s="296"/>
      <c r="K43" s="297"/>
      <c r="L43" s="323">
        <v>0.18673999999999999</v>
      </c>
      <c r="M43" s="298">
        <f t="shared" si="0"/>
        <v>0</v>
      </c>
      <c r="N43" s="324">
        <f>SUM(M43)</f>
        <v>0</v>
      </c>
      <c r="O43" s="267"/>
    </row>
    <row r="44" spans="1:21">
      <c r="A44" s="61"/>
      <c r="B44" s="276"/>
      <c r="C44" s="276"/>
      <c r="D44" s="240"/>
      <c r="E44" s="295"/>
      <c r="F44" s="268"/>
      <c r="G44" s="269"/>
      <c r="H44" s="269"/>
      <c r="I44" s="269"/>
      <c r="J44" s="269"/>
      <c r="K44" s="270"/>
      <c r="L44" s="270"/>
      <c r="M44" s="299"/>
      <c r="N44" s="267"/>
      <c r="O44" s="267"/>
      <c r="P44" s="267"/>
      <c r="Q44" s="267"/>
      <c r="R44" s="267"/>
      <c r="S44" s="267"/>
      <c r="T44" s="267"/>
      <c r="U44" s="267"/>
    </row>
    <row r="45" spans="1:21">
      <c r="A45" s="318" t="s">
        <v>390</v>
      </c>
      <c r="B45" s="308"/>
      <c r="C45" s="308"/>
      <c r="D45" s="316"/>
      <c r="E45" s="310"/>
      <c r="F45" s="310"/>
      <c r="G45" s="311"/>
      <c r="H45" s="311"/>
      <c r="I45" s="314"/>
      <c r="J45" s="311"/>
      <c r="K45" s="314"/>
      <c r="L45" s="312"/>
      <c r="M45" s="319"/>
      <c r="N45" s="267"/>
      <c r="O45" s="267"/>
      <c r="P45" s="267"/>
      <c r="Q45" s="267"/>
      <c r="R45" s="267"/>
      <c r="S45" s="267"/>
      <c r="T45" s="267"/>
      <c r="U45" s="267"/>
    </row>
    <row r="46" spans="1:21">
      <c r="A46" s="275"/>
      <c r="B46" s="293">
        <v>1</v>
      </c>
      <c r="C46" s="293" t="s">
        <v>234</v>
      </c>
      <c r="D46" s="301"/>
      <c r="E46" s="295" t="s">
        <v>368</v>
      </c>
      <c r="F46" s="295">
        <v>2</v>
      </c>
      <c r="G46" s="296" t="s">
        <v>224</v>
      </c>
      <c r="H46" s="296" t="s">
        <v>144</v>
      </c>
      <c r="I46" s="297"/>
      <c r="J46" s="296"/>
      <c r="K46" s="297"/>
      <c r="L46" s="323">
        <v>0.18673999999999999</v>
      </c>
      <c r="M46" s="298">
        <f t="shared" si="0"/>
        <v>0</v>
      </c>
      <c r="N46" s="324">
        <f>SUM(M46)</f>
        <v>0</v>
      </c>
      <c r="O46" s="267"/>
      <c r="P46" s="267"/>
      <c r="Q46" s="267"/>
      <c r="R46" s="267"/>
      <c r="S46" s="267"/>
      <c r="T46" s="267"/>
      <c r="U46" s="267"/>
    </row>
    <row r="47" spans="1:21">
      <c r="A47" s="61"/>
      <c r="B47" s="276"/>
      <c r="C47" s="276"/>
      <c r="D47" s="240"/>
      <c r="E47" s="268"/>
      <c r="F47" s="268"/>
      <c r="G47" s="269"/>
      <c r="H47" s="269"/>
      <c r="I47" s="269"/>
      <c r="J47" s="269"/>
      <c r="K47" s="270"/>
      <c r="L47" s="270"/>
      <c r="M47" s="278"/>
      <c r="N47" s="267"/>
      <c r="O47" s="267"/>
      <c r="P47" s="267"/>
      <c r="Q47" s="267"/>
      <c r="R47" s="267"/>
      <c r="S47" s="267"/>
      <c r="T47" s="267"/>
      <c r="U47" s="267"/>
    </row>
    <row r="48" spans="1:21" ht="19">
      <c r="A48" s="61"/>
      <c r="B48" s="276"/>
      <c r="C48" s="288"/>
      <c r="D48" s="289"/>
      <c r="E48" s="290"/>
      <c r="F48" s="288"/>
      <c r="G48" s="288"/>
      <c r="H48" s="291"/>
      <c r="I48" s="291"/>
      <c r="J48" s="291"/>
      <c r="K48" s="321">
        <f>SUM(K5:K47)</f>
        <v>1153</v>
      </c>
      <c r="L48" s="267"/>
      <c r="M48" s="292">
        <f>SUM(M4:M47)</f>
        <v>215.31121999999999</v>
      </c>
      <c r="N48" s="267"/>
      <c r="O48" s="267"/>
      <c r="P48" s="267"/>
      <c r="Q48" s="267"/>
      <c r="R48" s="267"/>
      <c r="S48" s="267"/>
      <c r="T48" s="267"/>
      <c r="U48" s="267"/>
    </row>
    <row r="51" spans="2:7" ht="19">
      <c r="B51" s="271" t="s">
        <v>370</v>
      </c>
      <c r="C51" s="271"/>
      <c r="D51" s="271"/>
      <c r="E51" s="271"/>
      <c r="F51" s="267"/>
      <c r="G51" s="267"/>
    </row>
    <row r="52" spans="2:7">
      <c r="B52" s="267"/>
      <c r="C52" s="267"/>
      <c r="D52" s="267"/>
      <c r="E52" s="267"/>
      <c r="F52" s="267"/>
      <c r="G52" s="267"/>
    </row>
    <row r="53" spans="2:7">
      <c r="B53" s="267" t="s">
        <v>314</v>
      </c>
      <c r="C53" s="267" t="s">
        <v>315</v>
      </c>
      <c r="D53" s="267" t="s">
        <v>391</v>
      </c>
      <c r="E53" s="267" t="s">
        <v>392</v>
      </c>
      <c r="F53" s="267" t="s">
        <v>318</v>
      </c>
      <c r="G53" s="267"/>
    </row>
    <row r="54" spans="2:7">
      <c r="B54" s="267" t="s">
        <v>319</v>
      </c>
      <c r="C54" s="267" t="s">
        <v>320</v>
      </c>
      <c r="D54" s="267" t="s">
        <v>393</v>
      </c>
      <c r="E54" s="267" t="s">
        <v>394</v>
      </c>
      <c r="F54" s="267">
        <v>0.28000000000000003</v>
      </c>
      <c r="G54" s="267"/>
    </row>
    <row r="55" spans="2:7">
      <c r="B55" s="267" t="s">
        <v>321</v>
      </c>
      <c r="C55" s="267" t="s">
        <v>373</v>
      </c>
      <c r="D55" s="267" t="s">
        <v>395</v>
      </c>
      <c r="E55" s="267" t="s">
        <v>396</v>
      </c>
      <c r="F55" s="267">
        <v>0.43</v>
      </c>
      <c r="G55" s="267"/>
    </row>
    <row r="56" spans="2:7">
      <c r="B56" s="267" t="s">
        <v>324</v>
      </c>
      <c r="C56" s="267" t="s">
        <v>325</v>
      </c>
      <c r="D56" s="267" t="s">
        <v>397</v>
      </c>
      <c r="E56" s="267" t="s">
        <v>398</v>
      </c>
      <c r="F56" s="267">
        <v>0.7</v>
      </c>
      <c r="G56" s="267"/>
    </row>
    <row r="57" spans="2:7">
      <c r="B57" s="267"/>
      <c r="C57" s="267"/>
      <c r="D57" s="267"/>
      <c r="E57" s="267"/>
      <c r="F57" s="267"/>
      <c r="G57" s="267"/>
    </row>
    <row r="58" spans="2:7" ht="19">
      <c r="B58" s="271" t="s">
        <v>375</v>
      </c>
      <c r="C58" s="271"/>
      <c r="D58" s="271"/>
      <c r="E58" s="271"/>
      <c r="F58" s="267"/>
      <c r="G58" s="267"/>
    </row>
    <row r="59" spans="2:7">
      <c r="B59" s="267"/>
      <c r="C59" s="267"/>
      <c r="D59" s="267"/>
      <c r="E59" s="267"/>
      <c r="F59" s="267"/>
      <c r="G59" s="267"/>
    </row>
    <row r="60" spans="2:7">
      <c r="B60" s="267" t="s">
        <v>314</v>
      </c>
      <c r="C60" s="267" t="s">
        <v>315</v>
      </c>
      <c r="D60" s="267" t="s">
        <v>391</v>
      </c>
      <c r="E60" s="267" t="s">
        <v>392</v>
      </c>
      <c r="F60" s="267" t="s">
        <v>318</v>
      </c>
      <c r="G60" s="267"/>
    </row>
    <row r="61" spans="2:7">
      <c r="B61" s="267" t="s">
        <v>319</v>
      </c>
      <c r="C61" s="267" t="s">
        <v>377</v>
      </c>
      <c r="D61" s="267" t="s">
        <v>399</v>
      </c>
      <c r="E61" s="267" t="s">
        <v>400</v>
      </c>
      <c r="F61" s="267" t="s">
        <v>401</v>
      </c>
      <c r="G61" s="267"/>
    </row>
    <row r="62" spans="2:7">
      <c r="B62" s="267" t="s">
        <v>321</v>
      </c>
      <c r="C62" s="267" t="s">
        <v>322</v>
      </c>
      <c r="D62" s="267" t="s">
        <v>402</v>
      </c>
      <c r="E62" s="267" t="s">
        <v>403</v>
      </c>
      <c r="F62" s="267" t="s">
        <v>404</v>
      </c>
      <c r="G62" s="267"/>
    </row>
    <row r="63" spans="2:7">
      <c r="B63" s="267" t="s">
        <v>324</v>
      </c>
      <c r="C63" s="267" t="s">
        <v>380</v>
      </c>
      <c r="D63" s="267" t="s">
        <v>397</v>
      </c>
      <c r="E63" s="267" t="s">
        <v>398</v>
      </c>
      <c r="F63" s="267" t="s">
        <v>405</v>
      </c>
      <c r="G63" s="267"/>
    </row>
  </sheetData>
  <mergeCells count="1">
    <mergeCell ref="B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08E9E-6595-0041-98DB-A5CD8EBBCBE8}">
  <dimension ref="A1:T43"/>
  <sheetViews>
    <sheetView workbookViewId="0">
      <pane ySplit="2" topLeftCell="A3" activePane="bottomLeft" state="frozen"/>
      <selection activeCell="E6" sqref="E6"/>
      <selection pane="bottomLeft" activeCell="D40" sqref="D40"/>
    </sheetView>
  </sheetViews>
  <sheetFormatPr baseColWidth="10" defaultColWidth="8.83203125" defaultRowHeight="15"/>
  <cols>
    <col min="1" max="1" width="11.33203125" style="2" bestFit="1" customWidth="1"/>
    <col min="2" max="2" width="27.5" style="2" customWidth="1"/>
    <col min="3" max="3" width="20.6640625" customWidth="1"/>
    <col min="4" max="4" width="22.6640625" style="2" customWidth="1"/>
    <col min="5" max="5" width="20.6640625" style="2" customWidth="1"/>
    <col min="6" max="6" width="22.5" style="30" customWidth="1"/>
    <col min="7" max="7" width="15.5" style="30" customWidth="1"/>
    <col min="8" max="8" width="14.5" style="30" customWidth="1"/>
    <col min="9" max="9" width="13.5" style="18" customWidth="1"/>
    <col min="10" max="10" width="18.1640625" style="11" customWidth="1"/>
    <col min="11" max="11" width="25.6640625" customWidth="1"/>
    <col min="12" max="12" width="13.33203125" customWidth="1"/>
    <col min="15" max="15" width="11.6640625" customWidth="1"/>
    <col min="17" max="17" width="20" customWidth="1"/>
    <col min="18" max="18" width="32" customWidth="1"/>
    <col min="20" max="20" width="16.1640625" customWidth="1"/>
  </cols>
  <sheetData>
    <row r="1" spans="1:17" s="29" customFormat="1">
      <c r="A1" s="31" t="s">
        <v>66</v>
      </c>
      <c r="B1" s="2"/>
      <c r="C1"/>
      <c r="D1" s="2"/>
      <c r="E1" s="2"/>
      <c r="F1" s="30"/>
      <c r="G1" s="30"/>
      <c r="H1" s="30"/>
      <c r="I1" s="18"/>
      <c r="J1" s="11"/>
    </row>
    <row r="2" spans="1:17" ht="64">
      <c r="A2" s="36" t="s">
        <v>67</v>
      </c>
      <c r="B2" s="36" t="s">
        <v>68</v>
      </c>
      <c r="C2" s="36" t="s">
        <v>122</v>
      </c>
      <c r="D2" s="36" t="s">
        <v>70</v>
      </c>
      <c r="E2" s="36" t="s">
        <v>71</v>
      </c>
      <c r="F2" s="36" t="s">
        <v>72</v>
      </c>
      <c r="G2" s="37" t="s">
        <v>73</v>
      </c>
      <c r="H2" s="37" t="s">
        <v>74</v>
      </c>
      <c r="I2" s="37" t="s">
        <v>75</v>
      </c>
      <c r="J2" s="43" t="s">
        <v>76</v>
      </c>
      <c r="K2" s="38" t="s">
        <v>77</v>
      </c>
      <c r="L2" s="39" t="s">
        <v>78</v>
      </c>
      <c r="M2" s="37" t="s">
        <v>79</v>
      </c>
      <c r="N2" s="37" t="s">
        <v>75</v>
      </c>
      <c r="O2" s="43" t="s">
        <v>76</v>
      </c>
      <c r="Q2" s="46" t="s">
        <v>80</v>
      </c>
    </row>
    <row r="3" spans="1:17" ht="16">
      <c r="A3" s="254">
        <v>1</v>
      </c>
      <c r="B3" s="115">
        <v>45667</v>
      </c>
      <c r="C3" s="28" t="s">
        <v>234</v>
      </c>
      <c r="D3" t="s">
        <v>406</v>
      </c>
      <c r="E3" s="255" t="s">
        <v>407</v>
      </c>
      <c r="F3" s="255" t="s">
        <v>408</v>
      </c>
      <c r="G3" s="257">
        <v>36</v>
      </c>
      <c r="H3" s="30">
        <f>G3*1.60934</f>
        <v>57.936239999999998</v>
      </c>
      <c r="I3" s="41">
        <v>2.7529999999999999E-2</v>
      </c>
      <c r="J3" s="42">
        <f t="shared" ref="J3:J8" si="0">H3*I3*A3</f>
        <v>1.5949846872</v>
      </c>
      <c r="K3" s="18" t="s">
        <v>105</v>
      </c>
      <c r="L3" s="11">
        <v>0</v>
      </c>
      <c r="M3" s="30">
        <f>L3*1.60934</f>
        <v>0</v>
      </c>
      <c r="N3" s="11">
        <v>0.14742</v>
      </c>
      <c r="O3" s="42">
        <f>M3*N3</f>
        <v>0</v>
      </c>
      <c r="Q3" s="45">
        <f t="shared" ref="Q3:Q8" si="1">J3+O3</f>
        <v>1.5949846872</v>
      </c>
    </row>
    <row r="4" spans="1:17" ht="16">
      <c r="A4" s="254">
        <v>1</v>
      </c>
      <c r="B4" s="115">
        <v>45706</v>
      </c>
      <c r="C4" s="28" t="s">
        <v>234</v>
      </c>
      <c r="D4" t="s">
        <v>406</v>
      </c>
      <c r="E4" s="255" t="s">
        <v>407</v>
      </c>
      <c r="F4" s="255" t="s">
        <v>408</v>
      </c>
      <c r="G4" s="257">
        <v>36</v>
      </c>
      <c r="H4" s="30">
        <f t="shared" ref="H4:H8" si="2">G4*1.60934</f>
        <v>57.936239999999998</v>
      </c>
      <c r="I4" s="41">
        <v>2.7529999999999999E-2</v>
      </c>
      <c r="J4" s="42">
        <f t="shared" si="0"/>
        <v>1.5949846872</v>
      </c>
      <c r="K4" s="18" t="s">
        <v>307</v>
      </c>
      <c r="L4" s="11"/>
      <c r="M4" s="30">
        <f>L4*1.60934</f>
        <v>0</v>
      </c>
      <c r="N4" s="11">
        <v>0.14742</v>
      </c>
      <c r="O4" s="42">
        <f>M4*N4</f>
        <v>0</v>
      </c>
      <c r="Q4" s="45">
        <f t="shared" si="1"/>
        <v>1.5949846872</v>
      </c>
    </row>
    <row r="5" spans="1:17" ht="16">
      <c r="A5" s="254">
        <v>1</v>
      </c>
      <c r="B5" s="115">
        <v>45737</v>
      </c>
      <c r="C5" s="28" t="s">
        <v>234</v>
      </c>
      <c r="D5" t="s">
        <v>406</v>
      </c>
      <c r="E5" s="255" t="s">
        <v>407</v>
      </c>
      <c r="F5" s="255" t="s">
        <v>409</v>
      </c>
      <c r="G5" s="257">
        <v>36</v>
      </c>
      <c r="H5" s="30">
        <f t="shared" si="2"/>
        <v>57.936239999999998</v>
      </c>
      <c r="I5" s="41">
        <v>2.7529999999999999E-2</v>
      </c>
      <c r="J5" s="42">
        <f t="shared" si="0"/>
        <v>1.5949846872</v>
      </c>
      <c r="K5" s="18"/>
      <c r="L5" s="11"/>
      <c r="M5" s="30"/>
      <c r="N5" s="11"/>
      <c r="O5" s="42">
        <f>M5*N5</f>
        <v>0</v>
      </c>
      <c r="Q5" s="45">
        <f t="shared" si="1"/>
        <v>1.5949846872</v>
      </c>
    </row>
    <row r="6" spans="1:17" ht="16">
      <c r="A6" s="254">
        <v>1</v>
      </c>
      <c r="B6" s="28">
        <v>45831</v>
      </c>
      <c r="C6" s="28" t="s">
        <v>234</v>
      </c>
      <c r="D6" t="s">
        <v>406</v>
      </c>
      <c r="E6" s="255" t="s">
        <v>407</v>
      </c>
      <c r="F6" s="256" t="s">
        <v>410</v>
      </c>
      <c r="G6" s="258">
        <v>35</v>
      </c>
      <c r="H6" s="30">
        <f t="shared" si="2"/>
        <v>56.326900000000002</v>
      </c>
      <c r="I6" s="41">
        <v>2.7529999999999999E-2</v>
      </c>
      <c r="J6" s="42">
        <f t="shared" si="0"/>
        <v>1.550679557</v>
      </c>
      <c r="K6" s="18"/>
      <c r="L6" s="11"/>
      <c r="M6" s="30"/>
      <c r="N6" s="11"/>
      <c r="O6" s="42">
        <f>M6*N6</f>
        <v>0</v>
      </c>
      <c r="Q6" s="45">
        <f t="shared" si="1"/>
        <v>1.550679557</v>
      </c>
    </row>
    <row r="7" spans="1:17">
      <c r="A7" s="254">
        <v>1</v>
      </c>
      <c r="B7" s="28">
        <v>45898</v>
      </c>
      <c r="C7" s="28" t="s">
        <v>234</v>
      </c>
      <c r="D7" t="s">
        <v>406</v>
      </c>
      <c r="E7" s="256" t="s">
        <v>407</v>
      </c>
      <c r="F7" s="256" t="s">
        <v>256</v>
      </c>
      <c r="G7" s="258">
        <v>37</v>
      </c>
      <c r="H7" s="30">
        <f t="shared" si="2"/>
        <v>59.545580000000001</v>
      </c>
      <c r="I7" s="41">
        <v>2.7529999999999999E-2</v>
      </c>
      <c r="J7" s="42">
        <f t="shared" si="0"/>
        <v>1.6392898173999999</v>
      </c>
      <c r="K7" s="18"/>
      <c r="L7" s="11"/>
      <c r="M7" s="30"/>
      <c r="N7" s="11"/>
      <c r="O7" s="42">
        <f>M7*N7</f>
        <v>0</v>
      </c>
      <c r="Q7" s="45">
        <f t="shared" si="1"/>
        <v>1.6392898173999999</v>
      </c>
    </row>
    <row r="8" spans="1:17">
      <c r="A8" s="254">
        <v>1</v>
      </c>
      <c r="B8" s="28">
        <v>45926</v>
      </c>
      <c r="C8" s="28" t="s">
        <v>234</v>
      </c>
      <c r="D8" t="s">
        <v>406</v>
      </c>
      <c r="E8" s="256" t="s">
        <v>407</v>
      </c>
      <c r="F8" s="256" t="s">
        <v>411</v>
      </c>
      <c r="G8" s="258">
        <v>37</v>
      </c>
      <c r="H8" s="30">
        <f t="shared" si="2"/>
        <v>59.545580000000001</v>
      </c>
      <c r="I8" s="41">
        <v>2.7529999999999999E-2</v>
      </c>
      <c r="J8" s="42">
        <f t="shared" si="0"/>
        <v>1.6392898173999999</v>
      </c>
      <c r="K8" s="18"/>
      <c r="L8" s="11"/>
      <c r="M8" s="30"/>
      <c r="N8" s="11"/>
      <c r="O8" s="42">
        <v>0</v>
      </c>
      <c r="Q8" s="45">
        <f t="shared" si="1"/>
        <v>1.6392898173999999</v>
      </c>
    </row>
    <row r="9" spans="1:17">
      <c r="A9" s="252"/>
      <c r="B9" s="28"/>
      <c r="C9" s="28"/>
      <c r="D9"/>
      <c r="E9" s="256"/>
      <c r="F9" s="2"/>
      <c r="I9" s="41"/>
      <c r="J9" s="42"/>
      <c r="K9" s="18"/>
      <c r="L9" s="11"/>
      <c r="M9" s="30"/>
      <c r="N9" s="11"/>
      <c r="O9" s="42"/>
      <c r="Q9" s="45"/>
    </row>
    <row r="10" spans="1:17">
      <c r="A10" s="252"/>
      <c r="B10" s="28"/>
      <c r="C10" s="28"/>
      <c r="D10"/>
      <c r="F10" s="2"/>
      <c r="I10" s="41"/>
      <c r="J10" s="42"/>
      <c r="K10" s="18"/>
      <c r="L10" s="11"/>
      <c r="M10" s="30"/>
      <c r="N10" s="11"/>
      <c r="O10" s="42"/>
      <c r="Q10" s="45"/>
    </row>
    <row r="11" spans="1:17">
      <c r="A11" s="252"/>
      <c r="B11" s="28"/>
      <c r="C11" s="28"/>
      <c r="D11"/>
      <c r="F11" s="2"/>
      <c r="I11" s="41"/>
      <c r="J11" s="42"/>
      <c r="K11" s="18"/>
      <c r="L11" s="11"/>
      <c r="M11" s="30"/>
      <c r="N11" s="11"/>
      <c r="O11" s="42"/>
      <c r="Q11" s="45"/>
    </row>
    <row r="12" spans="1:17">
      <c r="A12" s="252"/>
      <c r="B12" s="28"/>
      <c r="C12" s="28"/>
      <c r="D12"/>
      <c r="F12" s="2"/>
      <c r="I12" s="41"/>
      <c r="J12" s="42"/>
      <c r="K12" s="18"/>
      <c r="L12" s="11"/>
      <c r="M12" s="30"/>
      <c r="N12" s="11"/>
      <c r="O12" s="42"/>
      <c r="Q12" s="45"/>
    </row>
    <row r="13" spans="1:17">
      <c r="A13" s="252"/>
      <c r="B13" s="28"/>
      <c r="C13" s="28"/>
      <c r="D13"/>
      <c r="F13" s="2"/>
      <c r="I13" s="41"/>
      <c r="J13" s="42"/>
      <c r="K13" s="18"/>
      <c r="L13" s="11"/>
      <c r="M13" s="30"/>
      <c r="N13" s="11"/>
      <c r="O13" s="42"/>
      <c r="Q13" s="45"/>
    </row>
    <row r="14" spans="1:17">
      <c r="A14" s="252"/>
      <c r="B14" s="28"/>
      <c r="C14" s="28"/>
      <c r="D14"/>
      <c r="F14" s="2"/>
      <c r="I14" s="41"/>
      <c r="J14" s="42"/>
      <c r="K14" s="18"/>
      <c r="L14" s="11"/>
      <c r="M14" s="30"/>
      <c r="N14" s="11"/>
      <c r="O14" s="42"/>
      <c r="Q14" s="45"/>
    </row>
    <row r="15" spans="1:17" ht="16" thickBot="1">
      <c r="A15" s="253"/>
      <c r="B15" s="47"/>
      <c r="C15" s="47"/>
      <c r="D15" s="48"/>
      <c r="E15" s="47"/>
      <c r="F15" s="47"/>
      <c r="G15" s="49"/>
      <c r="H15" s="49"/>
      <c r="I15" s="49"/>
      <c r="J15" s="266">
        <f>SUM(J3:J14)</f>
        <v>9.6142132533999991</v>
      </c>
      <c r="K15" s="51"/>
      <c r="L15" s="52"/>
      <c r="M15" s="52"/>
      <c r="N15" s="52"/>
      <c r="O15" s="142">
        <f>SUM(O3:O7)</f>
        <v>0</v>
      </c>
      <c r="P15" s="54"/>
      <c r="Q15" s="265">
        <f>SUM(Q3:Q14)</f>
        <v>9.6142132533999991</v>
      </c>
    </row>
    <row r="16" spans="1:17" ht="16" thickTop="1">
      <c r="I16" s="30"/>
      <c r="J16" s="42"/>
      <c r="K16" s="18"/>
      <c r="L16" s="11"/>
      <c r="M16" s="11"/>
      <c r="N16" s="11"/>
      <c r="O16" s="21"/>
      <c r="Q16" s="21"/>
    </row>
    <row r="19" spans="1:20" ht="19">
      <c r="A19" s="241" t="s">
        <v>412</v>
      </c>
      <c r="B19" s="242"/>
      <c r="C19" s="196"/>
      <c r="D19" s="232"/>
    </row>
    <row r="20" spans="1:20" ht="32">
      <c r="A20" s="32" t="s">
        <v>121</v>
      </c>
      <c r="B20" s="32" t="s">
        <v>122</v>
      </c>
      <c r="C20" s="32" t="s">
        <v>123</v>
      </c>
      <c r="D20" s="32" t="s">
        <v>124</v>
      </c>
      <c r="E20" s="34" t="s">
        <v>125</v>
      </c>
      <c r="F20" s="33" t="s">
        <v>126</v>
      </c>
      <c r="G20" s="33" t="s">
        <v>127</v>
      </c>
      <c r="H20" s="33" t="s">
        <v>128</v>
      </c>
      <c r="I20" s="33" t="s">
        <v>129</v>
      </c>
      <c r="J20" s="35" t="s">
        <v>366</v>
      </c>
      <c r="K20" s="34" t="s">
        <v>310</v>
      </c>
      <c r="L20" s="81" t="s">
        <v>76</v>
      </c>
      <c r="O20" s="259"/>
      <c r="R20" s="259" t="s">
        <v>370</v>
      </c>
    </row>
    <row r="21" spans="1:20" ht="16">
      <c r="A21" s="125">
        <v>1</v>
      </c>
      <c r="B21" s="125" t="s">
        <v>228</v>
      </c>
      <c r="C21" s="260">
        <v>45916</v>
      </c>
      <c r="D21" s="126" t="s">
        <v>133</v>
      </c>
      <c r="E21" s="126">
        <v>1.2</v>
      </c>
      <c r="F21" s="127" t="s">
        <v>227</v>
      </c>
      <c r="G21" s="127" t="s">
        <v>176</v>
      </c>
      <c r="H21" s="227" t="s">
        <v>413</v>
      </c>
      <c r="I21" s="127" t="s">
        <v>137</v>
      </c>
      <c r="J21" s="227">
        <v>36.5</v>
      </c>
      <c r="K21" s="323">
        <v>0.22917999999999999</v>
      </c>
      <c r="L21" s="261">
        <f>J21*K21*A21</f>
        <v>8.3650699999999993</v>
      </c>
    </row>
    <row r="22" spans="1:20">
      <c r="C22" s="28"/>
      <c r="D22" s="30"/>
      <c r="E22" s="30"/>
      <c r="F22" s="18"/>
      <c r="G22" s="18"/>
      <c r="H22" s="18"/>
      <c r="K22" s="11"/>
      <c r="L22" s="55"/>
      <c r="R22" t="s">
        <v>314</v>
      </c>
      <c r="S22" t="s">
        <v>315</v>
      </c>
    </row>
    <row r="23" spans="1:20" ht="20" thickBot="1">
      <c r="A23" s="114"/>
      <c r="B23" s="56"/>
      <c r="C23" s="57"/>
      <c r="D23" s="58"/>
      <c r="E23" s="56"/>
      <c r="F23" s="56"/>
      <c r="G23" s="59"/>
      <c r="H23" s="59"/>
      <c r="I23" s="59"/>
      <c r="J23" s="67" t="s">
        <v>105</v>
      </c>
      <c r="K23" s="54"/>
      <c r="L23" s="194">
        <f>SUM(L21:L22)</f>
        <v>8.3650699999999993</v>
      </c>
      <c r="Q23" s="329"/>
      <c r="R23" t="s">
        <v>319</v>
      </c>
      <c r="S23" t="s">
        <v>320</v>
      </c>
      <c r="T23" s="322">
        <v>0.18204999999999999</v>
      </c>
    </row>
    <row r="24" spans="1:20" ht="16" thickTop="1">
      <c r="G24" s="40" t="s">
        <v>105</v>
      </c>
      <c r="H24" s="40"/>
      <c r="Q24" s="329"/>
      <c r="R24" t="s">
        <v>321</v>
      </c>
      <c r="S24" t="s">
        <v>373</v>
      </c>
      <c r="T24" s="322">
        <v>0.18673999999999999</v>
      </c>
    </row>
    <row r="25" spans="1:20">
      <c r="Q25" s="329"/>
      <c r="R25" t="s">
        <v>324</v>
      </c>
      <c r="S25" t="s">
        <v>325</v>
      </c>
      <c r="T25" s="322">
        <v>0.24956</v>
      </c>
    </row>
    <row r="26" spans="1:20">
      <c r="A26" s="31" t="s">
        <v>99</v>
      </c>
      <c r="C26" s="2"/>
      <c r="G26" s="40"/>
      <c r="H26" s="18"/>
      <c r="I26" s="11"/>
      <c r="J26"/>
    </row>
    <row r="27" spans="1:20" ht="32">
      <c r="A27" s="119" t="s">
        <v>179</v>
      </c>
      <c r="B27" s="119" t="s">
        <v>122</v>
      </c>
      <c r="C27" s="119" t="s">
        <v>180</v>
      </c>
      <c r="D27" s="119" t="s">
        <v>181</v>
      </c>
      <c r="E27" s="119" t="s">
        <v>182</v>
      </c>
      <c r="F27" s="35" t="s">
        <v>285</v>
      </c>
      <c r="G27" s="34" t="s">
        <v>79</v>
      </c>
      <c r="H27" s="34" t="s">
        <v>75</v>
      </c>
      <c r="I27" s="81" t="s">
        <v>76</v>
      </c>
      <c r="J27" s="120"/>
      <c r="K27" s="121" t="s">
        <v>80</v>
      </c>
      <c r="O27" s="259"/>
      <c r="R27" s="259" t="s">
        <v>375</v>
      </c>
    </row>
    <row r="28" spans="1:20">
      <c r="C28" s="28"/>
      <c r="F28" s="84"/>
      <c r="G28" s="30">
        <f t="shared" ref="G28" si="3">F28*1.60934</f>
        <v>0</v>
      </c>
      <c r="H28" s="116"/>
      <c r="I28" s="134">
        <f>G28*H28</f>
        <v>0</v>
      </c>
      <c r="J28"/>
      <c r="K28" s="134">
        <f>I28*A28</f>
        <v>0</v>
      </c>
    </row>
    <row r="29" spans="1:20">
      <c r="C29" s="28"/>
      <c r="D29" s="85"/>
      <c r="E29" s="30"/>
      <c r="F29" s="18"/>
      <c r="G29" s="11"/>
      <c r="H29" s="88"/>
      <c r="I29" s="55"/>
      <c r="J29"/>
      <c r="K29" s="21"/>
      <c r="R29" t="s">
        <v>314</v>
      </c>
      <c r="S29" t="s">
        <v>315</v>
      </c>
    </row>
    <row r="30" spans="1:20" ht="16" thickBot="1">
      <c r="A30" s="114"/>
      <c r="B30" s="114"/>
      <c r="C30" s="114"/>
      <c r="D30" s="114"/>
      <c r="E30" s="114"/>
      <c r="F30" s="52" t="s">
        <v>105</v>
      </c>
      <c r="G30" s="122" t="s">
        <v>105</v>
      </c>
      <c r="H30" s="52">
        <v>0.20826</v>
      </c>
      <c r="I30" s="123">
        <f>SUM(I28:I29)</f>
        <v>0</v>
      </c>
      <c r="J30" s="54"/>
      <c r="K30" s="86">
        <f>SUM(K28:K29)</f>
        <v>0</v>
      </c>
      <c r="Q30" s="329"/>
      <c r="R30" t="s">
        <v>319</v>
      </c>
      <c r="S30" t="s">
        <v>377</v>
      </c>
      <c r="T30" s="322">
        <v>0.22917999999999999</v>
      </c>
    </row>
    <row r="31" spans="1:20" ht="16" thickTop="1">
      <c r="C31" s="2"/>
      <c r="G31" s="40"/>
      <c r="H31" s="18"/>
      <c r="I31" s="30">
        <f>SUM(I30,O15)</f>
        <v>0</v>
      </c>
      <c r="J31"/>
      <c r="K31" s="189">
        <f>SUM(K30,O15)</f>
        <v>0</v>
      </c>
      <c r="Q31" s="329"/>
      <c r="R31" t="s">
        <v>321</v>
      </c>
      <c r="S31" t="s">
        <v>322</v>
      </c>
      <c r="T31" s="322">
        <v>0.28011999999999998</v>
      </c>
    </row>
    <row r="32" spans="1:20">
      <c r="C32" s="2"/>
      <c r="G32" s="40"/>
      <c r="H32" s="18"/>
      <c r="I32" s="11"/>
      <c r="J32"/>
      <c r="Q32" s="329"/>
      <c r="R32" t="s">
        <v>324</v>
      </c>
      <c r="S32" t="s">
        <v>380</v>
      </c>
      <c r="T32" s="322">
        <v>0.43065999999999999</v>
      </c>
    </row>
    <row r="33" spans="1:12">
      <c r="A33" s="31" t="s">
        <v>193</v>
      </c>
      <c r="C33" s="2"/>
      <c r="G33" s="40"/>
      <c r="H33" s="18"/>
      <c r="I33" s="11"/>
      <c r="J33"/>
    </row>
    <row r="34" spans="1:12" ht="16">
      <c r="A34" s="125" t="s">
        <v>69</v>
      </c>
      <c r="B34" s="125" t="s">
        <v>123</v>
      </c>
      <c r="C34" s="125" t="s">
        <v>194</v>
      </c>
      <c r="D34" s="125" t="s">
        <v>182</v>
      </c>
      <c r="E34" s="125" t="s">
        <v>289</v>
      </c>
      <c r="F34" s="34" t="s">
        <v>75</v>
      </c>
      <c r="G34" s="138" t="s">
        <v>196</v>
      </c>
      <c r="H34" s="127"/>
      <c r="I34" s="128"/>
      <c r="J34" s="120"/>
    </row>
    <row r="35" spans="1:12">
      <c r="A35" s="2" t="s">
        <v>105</v>
      </c>
      <c r="B35" s="2" t="s">
        <v>105</v>
      </c>
      <c r="C35" s="2" t="s">
        <v>105</v>
      </c>
      <c r="D35" s="2" t="s">
        <v>105</v>
      </c>
      <c r="F35" s="113">
        <v>0.24587000000000001</v>
      </c>
      <c r="G35" s="42">
        <f>E35*F35</f>
        <v>0</v>
      </c>
      <c r="H35" s="18"/>
      <c r="I35" s="11"/>
      <c r="J35"/>
    </row>
    <row r="36" spans="1:12" s="69" customFormat="1" ht="19">
      <c r="A36" s="2" t="s">
        <v>105</v>
      </c>
      <c r="B36" s="2" t="s">
        <v>105</v>
      </c>
      <c r="C36" s="2" t="s">
        <v>105</v>
      </c>
      <c r="D36" s="2" t="s">
        <v>105</v>
      </c>
      <c r="E36" s="2"/>
      <c r="F36" s="113">
        <v>0.24587000000000001</v>
      </c>
      <c r="G36" s="42">
        <f>E36*F36</f>
        <v>0</v>
      </c>
      <c r="H36" s="18"/>
      <c r="I36" s="11"/>
      <c r="J36"/>
      <c r="K36"/>
      <c r="L36"/>
    </row>
    <row r="37" spans="1:12">
      <c r="C37" s="2"/>
      <c r="F37" s="139" t="s">
        <v>207</v>
      </c>
      <c r="G37" s="185">
        <f>SUM(G35:G36)</f>
        <v>0</v>
      </c>
      <c r="H37" s="18"/>
      <c r="I37" s="11"/>
      <c r="J37"/>
    </row>
    <row r="38" spans="1:12">
      <c r="A38" s="31" t="s">
        <v>202</v>
      </c>
      <c r="C38" s="2"/>
      <c r="G38" s="40"/>
      <c r="H38" s="18"/>
      <c r="I38" s="11"/>
      <c r="J38"/>
    </row>
    <row r="39" spans="1:12" ht="16">
      <c r="A39" s="125" t="s">
        <v>69</v>
      </c>
      <c r="B39" s="125" t="s">
        <v>123</v>
      </c>
      <c r="C39" s="125" t="s">
        <v>203</v>
      </c>
      <c r="D39" s="34" t="s">
        <v>204</v>
      </c>
      <c r="E39" s="137" t="s">
        <v>80</v>
      </c>
      <c r="F39" s="126"/>
      <c r="G39" s="126"/>
      <c r="H39" s="127"/>
      <c r="I39" s="128"/>
      <c r="J39" s="120"/>
    </row>
    <row r="40" spans="1:12">
      <c r="A40" s="2" t="s">
        <v>234</v>
      </c>
      <c r="B40" s="118">
        <v>45945</v>
      </c>
      <c r="C40" s="2">
        <v>1</v>
      </c>
      <c r="D40" s="18">
        <v>10.4</v>
      </c>
      <c r="E40" s="80">
        <f>D40*C40</f>
        <v>10.4</v>
      </c>
      <c r="H40" s="18"/>
      <c r="I40" s="11"/>
      <c r="J40"/>
    </row>
    <row r="41" spans="1:12" ht="19">
      <c r="C41" s="2"/>
      <c r="D41" s="60" t="s">
        <v>207</v>
      </c>
      <c r="E41" s="186">
        <f>SUM(E40)</f>
        <v>10.4</v>
      </c>
      <c r="F41" s="70"/>
      <c r="G41" s="70"/>
      <c r="H41" s="71"/>
      <c r="I41" s="72"/>
      <c r="J41" s="69"/>
      <c r="K41" s="69"/>
      <c r="L41" s="69"/>
    </row>
    <row r="43" spans="1:12" ht="19">
      <c r="A43" s="141" t="s">
        <v>414</v>
      </c>
      <c r="B43" s="141"/>
      <c r="C43" s="195"/>
      <c r="D43" s="190">
        <f>SUM(E41,G37,K31,L23,Q15)</f>
        <v>28.379283253400001</v>
      </c>
      <c r="E43" s="68"/>
      <c r="F43" s="70"/>
      <c r="G43" s="70"/>
      <c r="H43" s="70"/>
      <c r="I43" s="7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84891-8ABA-9742-BC88-C2716900D738}">
  <dimension ref="A1:Q32"/>
  <sheetViews>
    <sheetView workbookViewId="0">
      <pane ySplit="1" topLeftCell="A2" activePane="bottomLeft" state="frozen"/>
      <selection activeCell="E6" sqref="E6"/>
      <selection pane="bottomLeft" activeCell="O3" sqref="O3:Q15"/>
    </sheetView>
  </sheetViews>
  <sheetFormatPr baseColWidth="10" defaultColWidth="8.83203125" defaultRowHeight="15"/>
  <cols>
    <col min="1" max="1" width="16.1640625" bestFit="1" customWidth="1"/>
    <col min="2" max="2" width="11.5" style="2" customWidth="1"/>
    <col min="3" max="3" width="10.5" style="2" bestFit="1" customWidth="1"/>
    <col min="4" max="4" width="18.1640625" bestFit="1" customWidth="1"/>
    <col min="5" max="5" width="10.6640625" style="18" customWidth="1"/>
    <col min="7" max="7" width="10.33203125" style="30" bestFit="1" customWidth="1"/>
    <col min="8" max="8" width="8.83203125" style="18"/>
    <col min="9" max="9" width="10" style="11" customWidth="1"/>
    <col min="10" max="10" width="18.33203125" style="11" customWidth="1"/>
    <col min="11" max="11" width="12.33203125" customWidth="1"/>
    <col min="12" max="12" width="10.33203125" customWidth="1"/>
    <col min="15" max="15" width="54.6640625" bestFit="1" customWidth="1"/>
    <col min="16" max="16" width="15.33203125" bestFit="1" customWidth="1"/>
    <col min="17" max="17" width="19" bestFit="1" customWidth="1"/>
    <col min="18" max="18" width="31.33203125" bestFit="1" customWidth="1"/>
    <col min="19" max="19" width="10.6640625" bestFit="1" customWidth="1"/>
  </cols>
  <sheetData>
    <row r="1" spans="1:17" ht="19">
      <c r="A1" s="69" t="s">
        <v>362</v>
      </c>
      <c r="C1" s="28"/>
      <c r="K1" s="11"/>
      <c r="L1" s="23"/>
    </row>
    <row r="2" spans="1:17" ht="80">
      <c r="A2" s="32" t="s">
        <v>122</v>
      </c>
      <c r="B2" s="32" t="s">
        <v>210</v>
      </c>
      <c r="C2" s="32" t="s">
        <v>211</v>
      </c>
      <c r="D2" s="32" t="s">
        <v>212</v>
      </c>
      <c r="E2" s="33" t="s">
        <v>415</v>
      </c>
      <c r="F2" s="32" t="s">
        <v>124</v>
      </c>
      <c r="G2" s="34" t="s">
        <v>125</v>
      </c>
      <c r="H2" s="33" t="s">
        <v>126</v>
      </c>
      <c r="I2" s="35" t="s">
        <v>299</v>
      </c>
      <c r="J2" s="35" t="s">
        <v>215</v>
      </c>
      <c r="K2" s="35" t="s">
        <v>216</v>
      </c>
      <c r="L2" s="90" t="s">
        <v>217</v>
      </c>
    </row>
    <row r="3" spans="1:17" ht="19">
      <c r="A3" t="s">
        <v>228</v>
      </c>
      <c r="B3" s="2" t="s">
        <v>222</v>
      </c>
      <c r="D3" t="s">
        <v>223</v>
      </c>
      <c r="E3" s="18">
        <v>12</v>
      </c>
      <c r="F3" t="s">
        <v>133</v>
      </c>
      <c r="G3" s="30">
        <v>1.2</v>
      </c>
      <c r="H3" s="18" t="s">
        <v>227</v>
      </c>
      <c r="I3" s="152">
        <f>12.3*E3</f>
        <v>147.60000000000002</v>
      </c>
      <c r="J3" s="152"/>
      <c r="K3" s="323">
        <v>0.22917999999999999</v>
      </c>
      <c r="L3" s="244">
        <f t="shared" ref="L3:L5" si="0">I3*K3</f>
        <v>33.826968000000008</v>
      </c>
      <c r="O3" s="259" t="s">
        <v>370</v>
      </c>
    </row>
    <row r="4" spans="1:17">
      <c r="A4" t="s">
        <v>360</v>
      </c>
      <c r="B4" s="28" t="s">
        <v>363</v>
      </c>
      <c r="C4" s="28">
        <v>45747</v>
      </c>
      <c r="D4" t="s">
        <v>361</v>
      </c>
      <c r="E4" s="18">
        <v>6</v>
      </c>
      <c r="F4" t="s">
        <v>133</v>
      </c>
      <c r="G4" s="30">
        <v>2</v>
      </c>
      <c r="H4" s="18" t="s">
        <v>224</v>
      </c>
      <c r="I4" s="152">
        <f>34.1*E4</f>
        <v>204.60000000000002</v>
      </c>
      <c r="J4" s="152"/>
      <c r="K4" s="323">
        <v>0.28011999999999998</v>
      </c>
      <c r="L4" s="244">
        <f t="shared" si="0"/>
        <v>57.312552000000004</v>
      </c>
    </row>
    <row r="5" spans="1:17">
      <c r="A5" t="s">
        <v>234</v>
      </c>
      <c r="B5" s="2" t="s">
        <v>222</v>
      </c>
      <c r="D5" t="s">
        <v>223</v>
      </c>
      <c r="E5" s="18">
        <v>12</v>
      </c>
      <c r="F5" t="s">
        <v>368</v>
      </c>
      <c r="G5" s="30">
        <v>2</v>
      </c>
      <c r="H5" s="18" t="s">
        <v>224</v>
      </c>
      <c r="I5" s="152">
        <f>4.6*E5</f>
        <v>55.199999999999996</v>
      </c>
      <c r="J5" s="152"/>
      <c r="K5" s="323">
        <v>0.18673999999999999</v>
      </c>
      <c r="L5" s="244">
        <f t="shared" si="0"/>
        <v>10.308047999999999</v>
      </c>
      <c r="O5" t="s">
        <v>314</v>
      </c>
      <c r="P5" t="s">
        <v>315</v>
      </c>
    </row>
    <row r="6" spans="1:17">
      <c r="L6" s="247">
        <f>SUM(L3:L5)</f>
        <v>101.447568</v>
      </c>
      <c r="O6" t="s">
        <v>319</v>
      </c>
      <c r="P6" t="s">
        <v>320</v>
      </c>
      <c r="Q6" s="322">
        <v>0.18204999999999999</v>
      </c>
    </row>
    <row r="7" spans="1:17">
      <c r="B7" s="28"/>
      <c r="C7" s="28"/>
      <c r="O7" t="s">
        <v>321</v>
      </c>
      <c r="P7" t="s">
        <v>373</v>
      </c>
      <c r="Q7" s="322">
        <v>0.18673999999999999</v>
      </c>
    </row>
    <row r="8" spans="1:17">
      <c r="O8" t="s">
        <v>324</v>
      </c>
      <c r="P8" t="s">
        <v>325</v>
      </c>
      <c r="Q8" s="322">
        <v>0.24956</v>
      </c>
    </row>
    <row r="10" spans="1:17" ht="19">
      <c r="O10" s="259" t="s">
        <v>375</v>
      </c>
    </row>
    <row r="12" spans="1:17">
      <c r="O12" t="s">
        <v>314</v>
      </c>
      <c r="P12" t="s">
        <v>315</v>
      </c>
    </row>
    <row r="13" spans="1:17">
      <c r="O13" t="s">
        <v>319</v>
      </c>
      <c r="P13" t="s">
        <v>377</v>
      </c>
      <c r="Q13" s="322">
        <v>0.22917999999999999</v>
      </c>
    </row>
    <row r="14" spans="1:17">
      <c r="O14" t="s">
        <v>321</v>
      </c>
      <c r="P14" t="s">
        <v>322</v>
      </c>
      <c r="Q14" s="322">
        <v>0.28011999999999998</v>
      </c>
    </row>
    <row r="15" spans="1:17">
      <c r="O15" t="s">
        <v>324</v>
      </c>
      <c r="P15" t="s">
        <v>380</v>
      </c>
      <c r="Q15" s="322">
        <v>0.43065999999999999</v>
      </c>
    </row>
    <row r="32" spans="11:12">
      <c r="K32" s="230" t="s">
        <v>303</v>
      </c>
      <c r="L32" s="250">
        <f>SUM(L6)</f>
        <v>101.447568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4435B-D385-4EC9-8A2A-D4DD9248C803}">
  <dimension ref="A8:V34"/>
  <sheetViews>
    <sheetView tabSelected="1" zoomScale="70" zoomScaleNormal="70" workbookViewId="0">
      <selection activeCell="P15" sqref="P15"/>
    </sheetView>
  </sheetViews>
  <sheetFormatPr baseColWidth="10" defaultColWidth="8.83203125" defaultRowHeight="15"/>
  <cols>
    <col min="1" max="1" width="95.6640625" customWidth="1"/>
    <col min="2" max="2" width="18.33203125" customWidth="1"/>
    <col min="3" max="11" width="12" style="113" bestFit="1" customWidth="1"/>
    <col min="12" max="18" width="11.6640625" style="113" bestFit="1" customWidth="1"/>
    <col min="19" max="22" width="15.83203125" style="113" customWidth="1"/>
  </cols>
  <sheetData>
    <row r="8" spans="1:22" s="93" customFormat="1" ht="42">
      <c r="B8" s="94" t="s">
        <v>6</v>
      </c>
      <c r="C8" s="327" t="s">
        <v>7</v>
      </c>
      <c r="D8" s="327" t="s">
        <v>8</v>
      </c>
      <c r="E8" s="327" t="s">
        <v>9</v>
      </c>
      <c r="F8" s="327" t="s">
        <v>10</v>
      </c>
      <c r="G8" s="326" t="s">
        <v>11</v>
      </c>
      <c r="H8" s="326" t="s">
        <v>12</v>
      </c>
      <c r="I8" s="326" t="s">
        <v>13</v>
      </c>
      <c r="J8" s="326" t="s">
        <v>14</v>
      </c>
      <c r="K8" s="327" t="s">
        <v>15</v>
      </c>
      <c r="L8" s="327" t="s">
        <v>16</v>
      </c>
      <c r="M8" s="327" t="s">
        <v>17</v>
      </c>
      <c r="N8" s="327" t="s">
        <v>18</v>
      </c>
      <c r="O8" s="326" t="s">
        <v>19</v>
      </c>
      <c r="P8" s="326" t="s">
        <v>20</v>
      </c>
      <c r="Q8" s="326" t="s">
        <v>21</v>
      </c>
      <c r="R8" s="326" t="s">
        <v>22</v>
      </c>
      <c r="S8" s="222" t="s">
        <v>23</v>
      </c>
      <c r="T8" s="222" t="s">
        <v>24</v>
      </c>
      <c r="U8" s="222" t="s">
        <v>25</v>
      </c>
      <c r="V8" s="222" t="s">
        <v>26</v>
      </c>
    </row>
    <row r="9" spans="1:22" s="97" customFormat="1" ht="20">
      <c r="A9" s="95" t="s">
        <v>27</v>
      </c>
      <c r="B9" s="96" t="s">
        <v>28</v>
      </c>
      <c r="C9" s="213">
        <f ca="1">AVERAGE(OFFSET('Monthly measurements - 1&amp;2 '!$AX9,0,-3*(COLUMN($R$9)-COLUMN()),1,-3))</f>
        <v>0</v>
      </c>
      <c r="D9" s="213">
        <f ca="1">AVERAGE(OFFSET('Monthly measurements - 1&amp;2 '!$AX9,0,-3*(COLUMN($R$9)-COLUMN()),1,-3))</f>
        <v>0</v>
      </c>
      <c r="E9" s="213">
        <f ca="1">AVERAGE(OFFSET('Monthly measurements - 1&amp;2 '!$AX9,0,-3*(COLUMN($R$9)-COLUMN()),1,-3))</f>
        <v>0</v>
      </c>
      <c r="F9" s="213">
        <f ca="1">AVERAGE(OFFSET('Monthly measurements - 1&amp;2 '!$AX9,0,-3*(COLUMN($R$9)-COLUMN()),1,-3))</f>
        <v>0</v>
      </c>
      <c r="G9" s="213">
        <f ca="1">AVERAGE(OFFSET('Monthly measurements - 1&amp;2 '!$AX9,0,-3*(COLUMN($R$9)-COLUMN()),1,-3))</f>
        <v>0</v>
      </c>
      <c r="H9" s="213">
        <f ca="1">AVERAGE(OFFSET('Monthly measurements - 1&amp;2 '!$AX9,0,-3*(COLUMN($R$9)-COLUMN()),1,-3))</f>
        <v>0</v>
      </c>
      <c r="I9" s="213">
        <f ca="1">AVERAGE(OFFSET('Monthly measurements - 1&amp;2 '!$AX9,0,-3*(COLUMN($R$9)-COLUMN()),1,-3))</f>
        <v>0</v>
      </c>
      <c r="J9" s="213">
        <f ca="1">AVERAGE(OFFSET('Monthly measurements - 1&amp;2 '!$AX9,0,-3*(COLUMN($R$9)-COLUMN()),1,-3))</f>
        <v>0</v>
      </c>
      <c r="K9" s="213">
        <f ca="1">AVERAGE(OFFSET('Monthly measurements - 1&amp;2 '!$AX9,0,-3*(COLUMN($R$9)-COLUMN()),1,-3))</f>
        <v>0</v>
      </c>
      <c r="L9" s="213">
        <f ca="1">AVERAGE(OFFSET('Monthly measurements - 1&amp;2 '!$AX9,0,-3*(COLUMN($R$9)-COLUMN()),1,-3))</f>
        <v>0</v>
      </c>
      <c r="M9" s="213">
        <f ca="1">AVERAGE(OFFSET('Monthly measurements - 1&amp;2 '!$AX9,0,-3*(COLUMN($R$9)-COLUMN()),1,-3))</f>
        <v>0.72000000000000008</v>
      </c>
      <c r="N9" s="213">
        <f ca="1">AVERAGE(OFFSET('Monthly measurements - 1&amp;2 '!$AX9,0,-3*(COLUMN($R$9)-COLUMN()),1,-3))</f>
        <v>0.72000000000000008</v>
      </c>
      <c r="O9" s="213">
        <f ca="1">AVERAGE(OFFSET('Monthly measurements - 1&amp;2 '!$AX9,0,-3*(COLUMN($R$9)-COLUMN()),1,-3))</f>
        <v>0.72000000000000008</v>
      </c>
      <c r="P9" s="213">
        <f ca="1">AVERAGE(OFFSET('Monthly measurements - 1&amp;2 '!$AX9,0,-3*(COLUMN($R$9)-COLUMN()),1,-3))</f>
        <v>0.72000000000000008</v>
      </c>
      <c r="Q9" s="213">
        <f ca="1">AVERAGE(OFFSET('Monthly measurements - 1&amp;2 '!$AX9,0,-3*(COLUMN($R$9)-COLUMN()),1,-3))</f>
        <v>0.72000000000000008</v>
      </c>
      <c r="R9" s="213">
        <f ca="1">AVERAGE(OFFSET('Monthly measurements - 1&amp;2 '!$AX9,0,-3*(COLUMN($R$9)-COLUMN()),1,-3))</f>
        <v>0.72000000000000008</v>
      </c>
      <c r="S9" s="108"/>
      <c r="T9" s="108"/>
      <c r="U9" s="108"/>
      <c r="V9" s="108"/>
    </row>
    <row r="10" spans="1:22" s="97" customFormat="1" ht="20">
      <c r="A10" s="95" t="s">
        <v>416</v>
      </c>
      <c r="B10" s="96" t="s">
        <v>31</v>
      </c>
      <c r="C10" s="215">
        <f ca="1">SUM(OFFSET('Monthly measurements - 1&amp;2 '!$AX10,0,-3*(COLUMN($R$11)-COLUMN()),1,-3))</f>
        <v>0</v>
      </c>
      <c r="D10" s="215">
        <f ca="1">SUM(OFFSET('Monthly measurements - 1&amp;2 '!$AX10,0,-3*(COLUMN($R$11)-COLUMN()),1,-3))</f>
        <v>0</v>
      </c>
      <c r="E10" s="215">
        <f ca="1">SUM(OFFSET('Monthly measurements - 1&amp;2 '!$AX10,0,-3*(COLUMN($R$11)-COLUMN()),1,-3))</f>
        <v>0</v>
      </c>
      <c r="F10" s="215">
        <f ca="1">SUM(OFFSET('Monthly measurements - 1&amp;2 '!$AX10,0,-3*(COLUMN($R$11)-COLUMN()),1,-3))</f>
        <v>0</v>
      </c>
      <c r="G10" s="215">
        <f ca="1">SUM(OFFSET('Monthly measurements - 1&amp;2 '!$AX10,0,-3*(COLUMN($R$11)-COLUMN()),1,-3))</f>
        <v>0</v>
      </c>
      <c r="H10" s="215">
        <f ca="1">SUM(OFFSET('Monthly measurements - 1&amp;2 '!$AX10,0,-3*(COLUMN($R$11)-COLUMN()),1,-3))</f>
        <v>0</v>
      </c>
      <c r="I10" s="215">
        <f ca="1">SUM(OFFSET('Monthly measurements - 1&amp;2 '!$AX10,0,-3*(COLUMN($R$11)-COLUMN()),1,-3))</f>
        <v>0</v>
      </c>
      <c r="J10" s="215">
        <f ca="1">SUM(OFFSET('Monthly measurements - 1&amp;2 '!$AX10,0,-3*(COLUMN($R$11)-COLUMN()),1,-3))</f>
        <v>0</v>
      </c>
      <c r="K10" s="215">
        <f ca="1">SUM(OFFSET('Monthly measurements - 1&amp;2 '!$AX10,0,-3*(COLUMN($R$11)-COLUMN()),1,-3))</f>
        <v>0</v>
      </c>
      <c r="L10" s="215">
        <f ca="1">SUM(OFFSET('Monthly measurements - 1&amp;2 '!$AX10,0,-3*(COLUMN($R$11)-COLUMN()),1,-3))</f>
        <v>0</v>
      </c>
      <c r="M10" s="215">
        <f ca="1">SUM(OFFSET('Monthly measurements - 1&amp;2 '!$AX10,0,-3*(COLUMN($R$11)-COLUMN()),1,-3))</f>
        <v>750</v>
      </c>
      <c r="N10" s="215">
        <f ca="1">SUM(OFFSET('Monthly measurements - 1&amp;2 '!$AX10,0,-3*(COLUMN($R$11)-COLUMN()),1,-3))</f>
        <v>1500</v>
      </c>
      <c r="O10" s="215">
        <f ca="1">SUM(OFFSET('Monthly measurements - 1&amp;2 '!$AX10,0,-3*(COLUMN($R$11)-COLUMN()),1,-3))</f>
        <v>750</v>
      </c>
      <c r="P10" s="215">
        <f ca="1">SUM(OFFSET('Monthly measurements - 1&amp;2 '!$AX10,0,-3*(COLUMN($R$11)-COLUMN()),1,-3))</f>
        <v>249</v>
      </c>
      <c r="Q10" s="215">
        <f ca="1">SUM(OFFSET('Monthly measurements - 1&amp;2 '!$AX10,0,-3*(COLUMN($R$11)-COLUMN()),1,-3))</f>
        <v>249</v>
      </c>
      <c r="R10" s="215">
        <f ca="1">SUM(OFFSET('Monthly measurements - 1&amp;2 '!$AX10,0,-3*(COLUMN($R$11)-COLUMN()),1,-3))</f>
        <v>825</v>
      </c>
      <c r="S10" s="108"/>
      <c r="T10" s="108"/>
      <c r="U10" s="108"/>
      <c r="V10" s="108"/>
    </row>
    <row r="11" spans="1:22" s="97" customFormat="1" ht="20">
      <c r="A11" s="95" t="s">
        <v>32</v>
      </c>
      <c r="B11" s="96" t="s">
        <v>33</v>
      </c>
      <c r="C11" s="215">
        <f ca="1">SUM(OFFSET('Monthly measurements - 1&amp;2 '!$AX11,0,-3*(COLUMN($R$11)-COLUMN()),1,-3))</f>
        <v>0</v>
      </c>
      <c r="D11" s="215">
        <f ca="1">SUM(OFFSET('Monthly measurements - 1&amp;2 '!$AX11,0,-3*(COLUMN($R$11)-COLUMN()),1,-3))</f>
        <v>0</v>
      </c>
      <c r="E11" s="215">
        <f ca="1">SUM(OFFSET('Monthly measurements - 1&amp;2 '!$AX11,0,-3*(COLUMN($R$11)-COLUMN()),1,-3))</f>
        <v>0</v>
      </c>
      <c r="F11" s="215">
        <f ca="1">SUM(OFFSET('Monthly measurements - 1&amp;2 '!$AX11,0,-3*(COLUMN($R$11)-COLUMN()),1,-3))</f>
        <v>0</v>
      </c>
      <c r="G11" s="215">
        <f ca="1">SUM(OFFSET('Monthly measurements - 1&amp;2 '!$AX11,0,-3*(COLUMN($R$11)-COLUMN()),1,-3))</f>
        <v>0</v>
      </c>
      <c r="H11" s="215">
        <f ca="1">SUM(OFFSET('Monthly measurements - 1&amp;2 '!$AX11,0,-3*(COLUMN($R$11)-COLUMN()),1,-3))</f>
        <v>0</v>
      </c>
      <c r="I11" s="215">
        <f ca="1">SUM(OFFSET('Monthly measurements - 1&amp;2 '!$AX11,0,-3*(COLUMN($R$11)-COLUMN()),1,-3))</f>
        <v>0</v>
      </c>
      <c r="J11" s="215">
        <f ca="1">SUM(OFFSET('Monthly measurements - 1&amp;2 '!$AX11,0,-3*(COLUMN($R$11)-COLUMN()),1,-3))</f>
        <v>0</v>
      </c>
      <c r="K11" s="215">
        <f ca="1">SUM(OFFSET('Monthly measurements - 1&amp;2 '!$AX11,0,-3*(COLUMN($R$11)-COLUMN()),1,-3))</f>
        <v>0</v>
      </c>
      <c r="L11" s="215">
        <f ca="1">SUM(OFFSET('Monthly measurements - 1&amp;2 '!$AX11,0,-3*(COLUMN($R$11)-COLUMN()),1,-3))</f>
        <v>0</v>
      </c>
      <c r="M11" s="215">
        <f ca="1">SUM(OFFSET('Monthly measurements - 1&amp;2 '!$AX11,0,-3*(COLUMN($R$11)-COLUMN()),1,-3))</f>
        <v>2335</v>
      </c>
      <c r="N11" s="215">
        <f ca="1">SUM(OFFSET('Monthly measurements - 1&amp;2 '!$AX11,0,-3*(COLUMN($R$11)-COLUMN()),1,-3))</f>
        <v>3321</v>
      </c>
      <c r="O11" s="215">
        <f ca="1">SUM(OFFSET('Monthly measurements - 1&amp;2 '!$AX11,0,-3*(COLUMN($R$11)-COLUMN()),1,-3))</f>
        <v>2910</v>
      </c>
      <c r="P11" s="215">
        <f ca="1">SUM(OFFSET('Monthly measurements - 1&amp;2 '!$AX11,0,-3*(COLUMN($R$11)-COLUMN()),1,-3))</f>
        <v>3309</v>
      </c>
      <c r="Q11" s="215">
        <f ca="1">SUM(OFFSET('Monthly measurements - 1&amp;2 '!$AX11,0,-3*(COLUMN($R$11)-COLUMN()),1,-3))</f>
        <v>3287</v>
      </c>
      <c r="R11" s="215">
        <f ca="1">SUM(OFFSET('Monthly measurements - 1&amp;2 '!$AX11,0,-3*(COLUMN($R$11)-COLUMN()),1,-3))</f>
        <v>4006.7</v>
      </c>
      <c r="S11" s="108"/>
      <c r="T11" s="108"/>
      <c r="U11" s="108"/>
      <c r="V11" s="108"/>
    </row>
    <row r="12" spans="1:22" s="97" customFormat="1" ht="20">
      <c r="A12" s="95" t="s">
        <v>34</v>
      </c>
      <c r="B12" s="96" t="s">
        <v>35</v>
      </c>
      <c r="C12" s="215">
        <f ca="1">SUM(OFFSET('Monthly measurements - 1&amp;2 '!$AX12,0,-3*(COLUMN($R$11)-COLUMN()),1,-3))</f>
        <v>0</v>
      </c>
      <c r="D12" s="215">
        <f ca="1">SUM(OFFSET('Monthly measurements - 1&amp;2 '!$AX12,0,-3*(COLUMN($R$11)-COLUMN()),1,-3))</f>
        <v>0</v>
      </c>
      <c r="E12" s="215">
        <f ca="1">SUM(OFFSET('Monthly measurements - 1&amp;2 '!$AX12,0,-3*(COLUMN($R$11)-COLUMN()),1,-3))</f>
        <v>0</v>
      </c>
      <c r="F12" s="215">
        <f ca="1">SUM(OFFSET('Monthly measurements - 1&amp;2 '!$AX12,0,-3*(COLUMN($R$11)-COLUMN()),1,-3))</f>
        <v>0</v>
      </c>
      <c r="G12" s="215">
        <f ca="1">SUM(OFFSET('Monthly measurements - 1&amp;2 '!$AX12,0,-3*(COLUMN($R$11)-COLUMN()),1,-3))</f>
        <v>0</v>
      </c>
      <c r="H12" s="215">
        <f ca="1">SUM(OFFSET('Monthly measurements - 1&amp;2 '!$AX12,0,-3*(COLUMN($R$11)-COLUMN()),1,-3))</f>
        <v>0</v>
      </c>
      <c r="I12" s="215">
        <f ca="1">SUM(OFFSET('Monthly measurements - 1&amp;2 '!$AX12,0,-3*(COLUMN($R$11)-COLUMN()),1,-3))</f>
        <v>0</v>
      </c>
      <c r="J12" s="215">
        <f ca="1">SUM(OFFSET('Monthly measurements - 1&amp;2 '!$AX12,0,-3*(COLUMN($R$11)-COLUMN()),1,-3))</f>
        <v>0</v>
      </c>
      <c r="K12" s="215">
        <f ca="1">SUM(OFFSET('Monthly measurements - 1&amp;2 '!$AX12,0,-3*(COLUMN($R$11)-COLUMN()),1,-3))</f>
        <v>0</v>
      </c>
      <c r="L12" s="215">
        <f ca="1">SUM(OFFSET('Monthly measurements - 1&amp;2 '!$AX12,0,-3*(COLUMN($R$11)-COLUMN()),1,-3))</f>
        <v>0</v>
      </c>
      <c r="M12" s="215">
        <f ca="1">SUM(OFFSET('Monthly measurements - 1&amp;2 '!$AX12,0,-3*(COLUMN($R$11)-COLUMN()),1,-3))</f>
        <v>2010</v>
      </c>
      <c r="N12" s="215">
        <f ca="1">SUM(OFFSET('Monthly measurements - 1&amp;2 '!$AX12,0,-3*(COLUMN($R$11)-COLUMN()),1,-3))</f>
        <v>3312</v>
      </c>
      <c r="O12" s="215">
        <f ca="1">SUM(OFFSET('Monthly measurements - 1&amp;2 '!$AX12,0,-3*(COLUMN($R$11)-COLUMN()),1,-3))</f>
        <v>1917</v>
      </c>
      <c r="P12" s="215">
        <f ca="1">SUM(OFFSET('Monthly measurements - 1&amp;2 '!$AX12,0,-3*(COLUMN($R$11)-COLUMN()),1,-3))</f>
        <v>636</v>
      </c>
      <c r="Q12" s="215">
        <f ca="1">SUM(OFFSET('Monthly measurements - 1&amp;2 '!$AX12,0,-3*(COLUMN($R$11)-COLUMN()),1,-3))</f>
        <v>675</v>
      </c>
      <c r="R12" s="215">
        <f ca="1">SUM(OFFSET('Monthly measurements - 1&amp;2 '!$AX12,0,-3*(COLUMN($R$11)-COLUMN()),1,-3))</f>
        <v>2109</v>
      </c>
      <c r="S12" s="223">
        <f ca="1">SUM(O12:R12)</f>
        <v>5337</v>
      </c>
      <c r="T12" s="223">
        <f ca="1">SUM(K12:N12)</f>
        <v>5322</v>
      </c>
      <c r="U12" s="223">
        <f ca="1">SUM(G12:J12)</f>
        <v>0</v>
      </c>
      <c r="V12" s="223">
        <f ca="1">SUM(C12:F12)</f>
        <v>0</v>
      </c>
    </row>
    <row r="13" spans="1:22" s="97" customFormat="1" ht="20">
      <c r="A13" s="95" t="s">
        <v>36</v>
      </c>
      <c r="B13" s="234" t="s">
        <v>35</v>
      </c>
      <c r="C13" s="218">
        <f ca="1">SUM(OFFSET('Monthly measurements - 1&amp;2 '!$AX13,0,-3*(COLUMN($R$11)-COLUMN()),1,-3))</f>
        <v>77.5</v>
      </c>
      <c r="D13" s="218">
        <f ca="1">SUM(OFFSET('Monthly measurements - 1&amp;2 '!$AX13,0,-3*(COLUMN($R$11)-COLUMN()),1,-3))</f>
        <v>2.2400000000000002</v>
      </c>
      <c r="E13" s="218">
        <f ca="1">SUM(OFFSET('Monthly measurements - 1&amp;2 '!$AX13,0,-3*(COLUMN($R$11)-COLUMN()),1,-3))</f>
        <v>93.18</v>
      </c>
      <c r="F13" s="218">
        <f ca="1">SUM(OFFSET('Monthly measurements - 1&amp;2 '!$AX13,0,-3*(COLUMN($R$11)-COLUMN()),1,-3))</f>
        <v>42.39</v>
      </c>
      <c r="G13" s="218">
        <f ca="1">SUM(OFFSET('Monthly measurements - 1&amp;2 '!$AX13,0,-3*(COLUMN($R$11)-COLUMN()),1,-3))</f>
        <v>0</v>
      </c>
      <c r="H13" s="218">
        <f ca="1">SUM(OFFSET('Monthly measurements - 1&amp;2 '!$AX13,0,-3*(COLUMN($R$11)-COLUMN()),1,-3))</f>
        <v>0</v>
      </c>
      <c r="I13" s="218">
        <f ca="1">SUM(OFFSET('Monthly measurements - 1&amp;2 '!$AX13,0,-3*(COLUMN($R$11)-COLUMN()),1,-3))</f>
        <v>0</v>
      </c>
      <c r="J13" s="218">
        <f ca="1">SUM(OFFSET('Monthly measurements - 1&amp;2 '!$AX13,0,-3*(COLUMN($R$11)-COLUMN()),1,-3))</f>
        <v>0</v>
      </c>
      <c r="K13" s="218">
        <f ca="1">SUM(OFFSET('Monthly measurements - 1&amp;2 '!$AX13,0,-3*(COLUMN($R$11)-COLUMN()),1,-3))</f>
        <v>0</v>
      </c>
      <c r="L13" s="218">
        <f ca="1">SUM(OFFSET('Monthly measurements - 1&amp;2 '!$AX13,0,-3*(COLUMN($R$11)-COLUMN()),1,-3))</f>
        <v>0</v>
      </c>
      <c r="M13" s="218">
        <f ca="1">SUM(OFFSET('Monthly measurements - 1&amp;2 '!$AX13,0,-3*(COLUMN($R$11)-COLUMN()),1,-3))</f>
        <v>0</v>
      </c>
      <c r="N13" s="218">
        <f ca="1">SUM(OFFSET('Monthly measurements - 1&amp;2 '!$AX13,0,-3*(COLUMN($R$11)-COLUMN()),1,-3))</f>
        <v>0</v>
      </c>
      <c r="O13" s="218">
        <f ca="1">SUM(OFFSET('Monthly measurements - 1&amp;2 '!$AX13,0,-3*(COLUMN($R$11)-COLUMN()),1,-3))</f>
        <v>0</v>
      </c>
      <c r="P13" s="218">
        <f ca="1">SUM(OFFSET('Monthly measurements - 1&amp;2 '!$AX13,0,-3*(COLUMN($R$11)-COLUMN()),1,-3))</f>
        <v>0</v>
      </c>
      <c r="Q13" s="218">
        <f ca="1">SUM(OFFSET('Monthly measurements - 1&amp;2 '!$AX13,0,-3*(COLUMN($R$11)-COLUMN()),1,-3))</f>
        <v>0</v>
      </c>
      <c r="R13" s="218">
        <f ca="1">SUM(OFFSET('Monthly measurements - 1&amp;2 '!$AX13,0,-3*(COLUMN($R$11)-COLUMN()),1,-3))</f>
        <v>0</v>
      </c>
      <c r="S13" s="223">
        <f ca="1">SUM(O13:R13)</f>
        <v>0</v>
      </c>
      <c r="T13" s="223">
        <f ca="1">SUM(K13:N13)</f>
        <v>0</v>
      </c>
      <c r="U13" s="223">
        <f ca="1">SUM(G13:J13)</f>
        <v>0</v>
      </c>
      <c r="V13" s="223">
        <f ca="1">SUM(C13:F13)</f>
        <v>215.31</v>
      </c>
    </row>
    <row r="14" spans="1:22" s="97" customFormat="1" ht="20">
      <c r="A14" s="235" t="s">
        <v>37</v>
      </c>
      <c r="B14" s="236" t="s">
        <v>35</v>
      </c>
      <c r="C14" s="325">
        <f t="shared" ref="C14:Q14" ca="1" si="0">SUM(C12:C13)</f>
        <v>77.5</v>
      </c>
      <c r="D14" s="325">
        <f t="shared" ca="1" si="0"/>
        <v>2.2400000000000002</v>
      </c>
      <c r="E14" s="325">
        <f t="shared" ca="1" si="0"/>
        <v>93.18</v>
      </c>
      <c r="F14" s="325">
        <f t="shared" ca="1" si="0"/>
        <v>42.39</v>
      </c>
      <c r="G14" s="325">
        <f t="shared" ca="1" si="0"/>
        <v>0</v>
      </c>
      <c r="H14" s="325">
        <f t="shared" ca="1" si="0"/>
        <v>0</v>
      </c>
      <c r="I14" s="325">
        <f t="shared" ca="1" si="0"/>
        <v>0</v>
      </c>
      <c r="J14" s="325">
        <f t="shared" ca="1" si="0"/>
        <v>0</v>
      </c>
      <c r="K14" s="325">
        <f t="shared" ca="1" si="0"/>
        <v>0</v>
      </c>
      <c r="L14" s="325">
        <f t="shared" ca="1" si="0"/>
        <v>0</v>
      </c>
      <c r="M14" s="325">
        <f t="shared" ca="1" si="0"/>
        <v>2010</v>
      </c>
      <c r="N14" s="325">
        <f t="shared" ca="1" si="0"/>
        <v>3312</v>
      </c>
      <c r="O14" s="325">
        <f t="shared" ca="1" si="0"/>
        <v>1917</v>
      </c>
      <c r="P14" s="325">
        <f t="shared" ca="1" si="0"/>
        <v>636</v>
      </c>
      <c r="Q14" s="325">
        <f t="shared" ca="1" si="0"/>
        <v>675</v>
      </c>
      <c r="R14" s="325">
        <f ca="1">SUM(R12:R13)</f>
        <v>2109</v>
      </c>
      <c r="S14" s="216">
        <f ca="1">SUM(S12:S13)</f>
        <v>5337</v>
      </c>
      <c r="T14" s="216">
        <f t="shared" ref="T14:V14" ca="1" si="1">SUM(T12:T13)</f>
        <v>5322</v>
      </c>
      <c r="U14" s="216">
        <f t="shared" ca="1" si="1"/>
        <v>0</v>
      </c>
      <c r="V14" s="216">
        <f t="shared" ca="1" si="1"/>
        <v>215.31</v>
      </c>
    </row>
    <row r="15" spans="1:22" s="97" customFormat="1" ht="20">
      <c r="A15" s="95" t="s">
        <v>38</v>
      </c>
      <c r="B15" s="96" t="s">
        <v>35</v>
      </c>
      <c r="C15" s="108">
        <f ca="1">SUM(OFFSET('Monthly measurements - 1&amp;2 '!$AX14,0,-3*(COLUMN($R$17)-COLUMN()),1,-3))</f>
        <v>0</v>
      </c>
      <c r="D15" s="108">
        <f ca="1">SUM(OFFSET('Monthly measurements - 1&amp;2 '!$AX14,0,-3*(COLUMN($R$17)-COLUMN()),1,-3))</f>
        <v>0</v>
      </c>
      <c r="E15" s="108">
        <f ca="1">SUM(OFFSET('Monthly measurements - 1&amp;2 '!$AX14,0,-3*(COLUMN($R$17)-COLUMN()),1,-3))</f>
        <v>0</v>
      </c>
      <c r="F15" s="108">
        <f ca="1">SUM(OFFSET('Monthly measurements - 1&amp;2 '!$AX14,0,-3*(COLUMN($R$17)-COLUMN()),1,-3))</f>
        <v>0</v>
      </c>
      <c r="G15" s="108">
        <f ca="1">SUM(OFFSET('Monthly measurements - 1&amp;2 '!$AX14,0,-3*(COLUMN($R$17)-COLUMN()),1,-3))</f>
        <v>0</v>
      </c>
      <c r="H15" s="108">
        <f ca="1">SUM(OFFSET('Monthly measurements - 1&amp;2 '!$AX14,0,-3*(COLUMN($R$17)-COLUMN()),1,-3))</f>
        <v>0</v>
      </c>
      <c r="I15" s="108">
        <f ca="1">SUM(OFFSET('Monthly measurements - 1&amp;2 '!$AX14,0,-3*(COLUMN($R$17)-COLUMN()),1,-3))</f>
        <v>0</v>
      </c>
      <c r="J15" s="108">
        <f ca="1">SUM(OFFSET('Monthly measurements - 1&amp;2 '!$AX14,0,-3*(COLUMN($R$17)-COLUMN()),1,-3))</f>
        <v>0</v>
      </c>
      <c r="K15" s="108">
        <f ca="1">SUM(OFFSET('Monthly measurements - 1&amp;2 '!$AX14,0,-3*(COLUMN($R$17)-COLUMN()),1,-3))</f>
        <v>0</v>
      </c>
      <c r="L15" s="108">
        <f ca="1">SUM(OFFSET('Monthly measurements - 1&amp;2 '!$AX14,0,-3*(COLUMN($R$17)-COLUMN()),1,-3))</f>
        <v>0</v>
      </c>
      <c r="M15" s="108">
        <f ca="1">SUM(OFFSET('Monthly measurements - 1&amp;2 '!$AX14,0,-3*(COLUMN($R$17)-COLUMN()),1,-3))</f>
        <v>471</v>
      </c>
      <c r="N15" s="108">
        <f ca="1">SUM(OFFSET('Monthly measurements - 1&amp;2 '!$AX14,0,-3*(COLUMN($R$17)-COLUMN()),1,-3))</f>
        <v>682</v>
      </c>
      <c r="O15" s="108">
        <f ca="1">SUM(OFFSET('Monthly measurements - 1&amp;2 '!$AX14,0,-3*(COLUMN($R$17)-COLUMN()),1,-3))</f>
        <v>562</v>
      </c>
      <c r="P15" s="108">
        <f ca="1">SUM(OFFSET('Monthly measurements - 1&amp;2 '!$AX14,0,-3*(COLUMN($R$17)-COLUMN()),1,-3))</f>
        <v>640</v>
      </c>
      <c r="Q15" s="108">
        <f ca="1">SUM(OFFSET('Monthly measurements - 1&amp;2 '!$AX14,0,-3*(COLUMN($R$17)-COLUMN()),1,-3))</f>
        <v>635</v>
      </c>
      <c r="R15" s="108">
        <f ca="1">SUM(OFFSET('Monthly measurements - 1&amp;2 '!$AX14,0,-3*(COLUMN($R$17)-COLUMN()),1,-3))</f>
        <v>775</v>
      </c>
      <c r="S15" s="223">
        <f t="shared" ref="S15:S16" ca="1" si="2">SUM(O15:R15)</f>
        <v>2612</v>
      </c>
      <c r="T15" s="224">
        <f t="shared" ref="T15:T16" ca="1" si="3">SUM(M15:N15)</f>
        <v>1153</v>
      </c>
      <c r="U15" s="224">
        <v>0</v>
      </c>
      <c r="V15" s="224">
        <v>0</v>
      </c>
    </row>
    <row r="16" spans="1:22" s="100" customFormat="1" ht="20">
      <c r="A16" s="98" t="s">
        <v>39</v>
      </c>
      <c r="B16" s="99" t="s">
        <v>35</v>
      </c>
      <c r="C16" s="325">
        <f t="shared" ref="C16:R16" ca="1" si="4">SUM(C14:C15)</f>
        <v>77.5</v>
      </c>
      <c r="D16" s="325">
        <f t="shared" ca="1" si="4"/>
        <v>2.2400000000000002</v>
      </c>
      <c r="E16" s="325">
        <f t="shared" ca="1" si="4"/>
        <v>93.18</v>
      </c>
      <c r="F16" s="325">
        <f t="shared" ca="1" si="4"/>
        <v>42.39</v>
      </c>
      <c r="G16" s="325">
        <f t="shared" ca="1" si="4"/>
        <v>0</v>
      </c>
      <c r="H16" s="325">
        <f t="shared" ca="1" si="4"/>
        <v>0</v>
      </c>
      <c r="I16" s="325">
        <f t="shared" ca="1" si="4"/>
        <v>0</v>
      </c>
      <c r="J16" s="325">
        <f t="shared" ca="1" si="4"/>
        <v>0</v>
      </c>
      <c r="K16" s="325">
        <f t="shared" ca="1" si="4"/>
        <v>0</v>
      </c>
      <c r="L16" s="325">
        <f t="shared" ca="1" si="4"/>
        <v>0</v>
      </c>
      <c r="M16" s="325">
        <f t="shared" ca="1" si="4"/>
        <v>2481</v>
      </c>
      <c r="N16" s="325">
        <f t="shared" ca="1" si="4"/>
        <v>3994</v>
      </c>
      <c r="O16" s="325">
        <f t="shared" ca="1" si="4"/>
        <v>2479</v>
      </c>
      <c r="P16" s="325">
        <f t="shared" ca="1" si="4"/>
        <v>1276</v>
      </c>
      <c r="Q16" s="325">
        <f t="shared" ca="1" si="4"/>
        <v>1310</v>
      </c>
      <c r="R16" s="325">
        <f t="shared" ca="1" si="4"/>
        <v>2884</v>
      </c>
      <c r="S16" s="225">
        <f t="shared" ca="1" si="2"/>
        <v>7949</v>
      </c>
      <c r="T16" s="226">
        <f t="shared" ca="1" si="3"/>
        <v>6475</v>
      </c>
      <c r="U16" s="226">
        <v>0</v>
      </c>
      <c r="V16" s="226">
        <v>0</v>
      </c>
    </row>
    <row r="17" spans="1:22" s="97" customFormat="1" ht="20">
      <c r="A17" s="101" t="s">
        <v>40</v>
      </c>
      <c r="B17" s="102" t="s">
        <v>41</v>
      </c>
      <c r="C17" s="237">
        <f ca="1">SUM(OFFSET('Monthly measurements - 1&amp;2 '!$AX16,0,-3*(COLUMN($R$17)-COLUMN()),1,-3))</f>
        <v>0</v>
      </c>
      <c r="D17" s="237">
        <f ca="1">SUM(OFFSET('Monthly measurements - 1&amp;2 '!$AX16,0,-3*(COLUMN($R$17)-COLUMN()),1,-3))</f>
        <v>0</v>
      </c>
      <c r="E17" s="237">
        <f ca="1">SUM(OFFSET('Monthly measurements - 1&amp;2 '!$AX16,0,-3*(COLUMN($R$17)-COLUMN()),1,-3))</f>
        <v>0</v>
      </c>
      <c r="F17" s="237">
        <f ca="1">SUM(OFFSET('Monthly measurements - 1&amp;2 '!$AX16,0,-3*(COLUMN($R$17)-COLUMN()),1,-3))</f>
        <v>0</v>
      </c>
      <c r="G17" s="237">
        <f ca="1">SUM(OFFSET('Monthly measurements - 1&amp;2 '!$AX16,0,-3*(COLUMN($R$17)-COLUMN()),1,-3))</f>
        <v>0</v>
      </c>
      <c r="H17" s="237">
        <f ca="1">SUM(OFFSET('Monthly measurements - 1&amp;2 '!$AX16,0,-3*(COLUMN($R$17)-COLUMN()),1,-3))</f>
        <v>0</v>
      </c>
      <c r="I17" s="237">
        <f ca="1">SUM(OFFSET('Monthly measurements - 1&amp;2 '!$AX16,0,-3*(COLUMN($R$17)-COLUMN()),1,-3))</f>
        <v>0</v>
      </c>
      <c r="J17" s="237">
        <f ca="1">SUM(OFFSET('Monthly measurements - 1&amp;2 '!$AX16,0,-3*(COLUMN($R$17)-COLUMN()),1,-3))</f>
        <v>0</v>
      </c>
      <c r="K17" s="237">
        <f ca="1">SUM(OFFSET('Monthly measurements - 1&amp;2 '!$AX16,0,-3*(COLUMN($R$17)-COLUMN()),1,-3))</f>
        <v>0</v>
      </c>
      <c r="L17" s="237">
        <f ca="1">SUM(OFFSET('Monthly measurements - 1&amp;2 '!$AX16,0,-3*(COLUMN($R$17)-COLUMN()),1,-3))</f>
        <v>0</v>
      </c>
      <c r="M17" s="237">
        <f ca="1">SUM(OFFSET('Monthly measurements - 1&amp;2 '!$AX16,0,-3*(COLUMN($R$17)-COLUMN()),1,-3))</f>
        <v>769</v>
      </c>
      <c r="N17" s="237">
        <f ca="1">SUM(OFFSET('Monthly measurements - 1&amp;2 '!$AX16,0,-3*(COLUMN($R$17)-COLUMN()),1,-3))</f>
        <v>1069.7924</v>
      </c>
      <c r="O17" s="237">
        <f ca="1">SUM(OFFSET('Monthly measurements - 1&amp;2 '!$AX16,0,-3*(COLUMN($R$17)-COLUMN()),1,-3))</f>
        <v>433.88099999999997</v>
      </c>
      <c r="P17" s="237">
        <f ca="1">SUM(OFFSET('Monthly measurements - 1&amp;2 '!$AX16,0,-3*(COLUMN($R$17)-COLUMN()),1,-3))</f>
        <v>493.37190000000004</v>
      </c>
      <c r="Q17" s="237">
        <f ca="1">SUM(OFFSET('Monthly measurements - 1&amp;2 '!$AX16,0,-3*(COLUMN($R$17)-COLUMN()),1,-3))</f>
        <v>490.09170000000006</v>
      </c>
      <c r="R17" s="237">
        <f ca="1">SUM(OFFSET('Monthly measurements - 1&amp;2 '!$AX16,0,-3*(COLUMN($R$17)-COLUMN()),1,-3))</f>
        <v>596</v>
      </c>
      <c r="S17" s="108"/>
      <c r="T17" s="108"/>
      <c r="U17" s="108"/>
      <c r="V17" s="108"/>
    </row>
    <row r="18" spans="1:22" s="97" customFormat="1" ht="20">
      <c r="A18" s="101" t="s">
        <v>42</v>
      </c>
      <c r="B18" s="102" t="s">
        <v>41</v>
      </c>
      <c r="C18" s="237">
        <f ca="1">SUM(OFFSET('Monthly measurements - 1&amp;2 '!$AX17,0,-3*(COLUMN($R$17)-COLUMN()),1,-3))</f>
        <v>0</v>
      </c>
      <c r="D18" s="237">
        <f ca="1">SUM(OFFSET('Monthly measurements - 1&amp;2 '!$AX17,0,-3*(COLUMN($R$17)-COLUMN()),1,-3))</f>
        <v>0</v>
      </c>
      <c r="E18" s="237">
        <f ca="1">SUM(OFFSET('Monthly measurements - 1&amp;2 '!$AX17,0,-3*(COLUMN($R$17)-COLUMN()),1,-3))</f>
        <v>0</v>
      </c>
      <c r="F18" s="237">
        <f ca="1">SUM(OFFSET('Monthly measurements - 1&amp;2 '!$AX17,0,-3*(COLUMN($R$17)-COLUMN()),1,-3))</f>
        <v>0</v>
      </c>
      <c r="G18" s="237">
        <f ca="1">SUM(OFFSET('Monthly measurements - 1&amp;2 '!$AX17,0,-3*(COLUMN($R$17)-COLUMN()),1,-3))</f>
        <v>0</v>
      </c>
      <c r="H18" s="237">
        <f ca="1">SUM(OFFSET('Monthly measurements - 1&amp;2 '!$AX17,0,-3*(COLUMN($R$17)-COLUMN()),1,-3))</f>
        <v>0</v>
      </c>
      <c r="I18" s="237">
        <f ca="1">SUM(OFFSET('Monthly measurements - 1&amp;2 '!$AX17,0,-3*(COLUMN($R$17)-COLUMN()),1,-3))</f>
        <v>0</v>
      </c>
      <c r="J18" s="237">
        <f ca="1">SUM(OFFSET('Monthly measurements - 1&amp;2 '!$AX17,0,-3*(COLUMN($R$17)-COLUMN()),1,-3))</f>
        <v>0</v>
      </c>
      <c r="K18" s="237">
        <f ca="1">SUM(OFFSET('Monthly measurements - 1&amp;2 '!$AX17,0,-3*(COLUMN($R$17)-COLUMN()),1,-3))</f>
        <v>0</v>
      </c>
      <c r="L18" s="237">
        <f ca="1">SUM(OFFSET('Monthly measurements - 1&amp;2 '!$AX17,0,-3*(COLUMN($R$17)-COLUMN()),1,-3))</f>
        <v>0</v>
      </c>
      <c r="M18" s="237">
        <f ca="1">SUM(OFFSET('Monthly measurements - 1&amp;2 '!$AX17,0,-3*(COLUMN($R$17)-COLUMN()),1,-3))</f>
        <v>567</v>
      </c>
      <c r="N18" s="237">
        <f ca="1">SUM(OFFSET('Monthly measurements - 1&amp;2 '!$AX17,0,-3*(COLUMN($R$17)-COLUMN()),1,-3))</f>
        <v>1245</v>
      </c>
      <c r="O18" s="237">
        <f ca="1">SUM(OFFSET('Monthly measurements - 1&amp;2 '!$AX17,0,-3*(COLUMN($R$17)-COLUMN()),1,-3))</f>
        <v>582</v>
      </c>
      <c r="P18" s="237">
        <f ca="1">SUM(OFFSET('Monthly measurements - 1&amp;2 '!$AX17,0,-3*(COLUMN($R$17)-COLUMN()),1,-3))</f>
        <v>234</v>
      </c>
      <c r="Q18" s="237">
        <f ca="1">SUM(OFFSET('Monthly measurements - 1&amp;2 '!$AX17,0,-3*(COLUMN($R$17)-COLUMN()),1,-3))</f>
        <v>234</v>
      </c>
      <c r="R18" s="237">
        <f ca="1">SUM(OFFSET('Monthly measurements - 1&amp;2 '!$AX17,0,-3*(COLUMN($R$17)-COLUMN()),1,-3))</f>
        <v>483</v>
      </c>
      <c r="S18" s="108"/>
      <c r="T18" s="108"/>
      <c r="U18" s="108"/>
      <c r="V18" s="108"/>
    </row>
    <row r="19" spans="1:22" s="97" customFormat="1" ht="20">
      <c r="A19" s="95" t="s">
        <v>43</v>
      </c>
      <c r="B19" s="96" t="s">
        <v>44</v>
      </c>
      <c r="C19" s="218">
        <f ca="1">AVERAGE(OFFSET('Monthly measurements - 1&amp;2 '!$AX18,0,-3*(COLUMN($R$19)-COLUMN()),1,-3))</f>
        <v>2</v>
      </c>
      <c r="D19" s="218">
        <f ca="1">AVERAGE(OFFSET('Monthly measurements - 1&amp;2 '!$AX18,0,-3*(COLUMN($R$19)-COLUMN()),1,-3))</f>
        <v>2</v>
      </c>
      <c r="E19" s="218">
        <f ca="1">AVERAGE(OFFSET('Monthly measurements - 1&amp;2 '!$AX18,0,-3*(COLUMN($R$19)-COLUMN()),1,-3))</f>
        <v>2</v>
      </c>
      <c r="F19" s="218">
        <f ca="1">AVERAGE(OFFSET('Monthly measurements - 1&amp;2 '!$AX18,0,-3*(COLUMN($R$19)-COLUMN()),1,-3))</f>
        <v>3</v>
      </c>
      <c r="G19" s="218">
        <f ca="1">AVERAGE(OFFSET('Monthly measurements - 1&amp;2 '!$AX18,0,-3*(COLUMN($R$19)-COLUMN()),1,-3))</f>
        <v>3</v>
      </c>
      <c r="H19" s="218">
        <f ca="1">AVERAGE(OFFSET('Monthly measurements - 1&amp;2 '!$AX18,0,-3*(COLUMN($R$19)-COLUMN()),1,-3))</f>
        <v>5</v>
      </c>
      <c r="I19" s="218">
        <f ca="1">AVERAGE(OFFSET('Monthly measurements - 1&amp;2 '!$AX18,0,-3*(COLUMN($R$19)-COLUMN()),1,-3))</f>
        <v>7</v>
      </c>
      <c r="J19" s="218">
        <f ca="1">AVERAGE(OFFSET('Monthly measurements - 1&amp;2 '!$AX18,0,-3*(COLUMN($R$19)-COLUMN()),1,-3))</f>
        <v>7.666666666666667</v>
      </c>
      <c r="K19" s="218">
        <f ca="1">AVERAGE(OFFSET('Monthly measurements - 1&amp;2 '!$AX18,0,-3*(COLUMN($R$19)-COLUMN()),1,-3))</f>
        <v>9</v>
      </c>
      <c r="L19" s="218">
        <f ca="1">AVERAGE(OFFSET('Monthly measurements - 1&amp;2 '!$AX18,0,-3*(COLUMN($R$19)-COLUMN()),1,-3))</f>
        <v>9.3333333333333339</v>
      </c>
      <c r="M19" s="218">
        <f ca="1">AVERAGE(OFFSET('Monthly measurements - 1&amp;2 '!$AX18,0,-3*(COLUMN($R$19)-COLUMN()),1,-3))</f>
        <v>9.1666666666666661</v>
      </c>
      <c r="N19" s="218">
        <f ca="1">AVERAGE(OFFSET('Monthly measurements - 1&amp;2 '!$AX18,0,-3*(COLUMN($R$19)-COLUMN()),1,-3))</f>
        <v>14.333333333333334</v>
      </c>
      <c r="O19" s="218">
        <f ca="1">AVERAGE(OFFSET('Monthly measurements - 1&amp;2 '!$AX18,0,-3*(COLUMN($R$19)-COLUMN()),1,-3))</f>
        <v>16.333333333333332</v>
      </c>
      <c r="P19" s="218">
        <f ca="1">AVERAGE(OFFSET('Monthly measurements - 1&amp;2 '!$AX18,0,-3*(COLUMN($R$19)-COLUMN()),1,-3))</f>
        <v>15.333333333333334</v>
      </c>
      <c r="Q19" s="218">
        <f ca="1">AVERAGE(OFFSET('Monthly measurements - 1&amp;2 '!$AX18,0,-3*(COLUMN($R$19)-COLUMN()),1,-3))</f>
        <v>17</v>
      </c>
      <c r="R19" s="218">
        <f ca="1">AVERAGE(OFFSET('Monthly measurements - 1&amp;2 '!$AX18,0,-3*(COLUMN($R$19)-COLUMN()),1,-3))</f>
        <v>17</v>
      </c>
      <c r="S19" s="108"/>
      <c r="T19" s="108"/>
      <c r="U19" s="108"/>
      <c r="V19" s="108"/>
    </row>
    <row r="20" spans="1:22" s="97" customFormat="1" ht="20">
      <c r="A20" s="95" t="s">
        <v>45</v>
      </c>
      <c r="B20" s="96" t="s">
        <v>35</v>
      </c>
      <c r="C20" s="218">
        <f t="shared" ref="C20:L20" ca="1" si="5">C16/C19</f>
        <v>38.75</v>
      </c>
      <c r="D20" s="218">
        <f t="shared" ca="1" si="5"/>
        <v>1.1200000000000001</v>
      </c>
      <c r="E20" s="218">
        <f t="shared" ca="1" si="5"/>
        <v>46.59</v>
      </c>
      <c r="F20" s="218">
        <f t="shared" ca="1" si="5"/>
        <v>14.13</v>
      </c>
      <c r="G20" s="218">
        <f t="shared" ca="1" si="5"/>
        <v>0</v>
      </c>
      <c r="H20" s="218">
        <f t="shared" ca="1" si="5"/>
        <v>0</v>
      </c>
      <c r="I20" s="218">
        <f t="shared" ca="1" si="5"/>
        <v>0</v>
      </c>
      <c r="J20" s="218">
        <f t="shared" ca="1" si="5"/>
        <v>0</v>
      </c>
      <c r="K20" s="218">
        <f t="shared" ca="1" si="5"/>
        <v>0</v>
      </c>
      <c r="L20" s="218">
        <f t="shared" ca="1" si="5"/>
        <v>0</v>
      </c>
      <c r="M20" s="218">
        <f ca="1">M16/M19</f>
        <v>270.65454545454548</v>
      </c>
      <c r="N20" s="218">
        <f ca="1">N16/N19</f>
        <v>278.65116279069764</v>
      </c>
      <c r="O20" s="218">
        <f ca="1">O16/O19</f>
        <v>151.77551020408166</v>
      </c>
      <c r="P20" s="218">
        <f t="shared" ref="P20:Q20" ca="1" si="6">P16/P19</f>
        <v>83.217391304347828</v>
      </c>
      <c r="Q20" s="218">
        <f t="shared" ca="1" si="6"/>
        <v>77.058823529411768</v>
      </c>
      <c r="R20" s="218">
        <f t="shared" ref="R20" ca="1" si="7">R16/R19</f>
        <v>169.64705882352942</v>
      </c>
      <c r="S20" s="108"/>
      <c r="T20" s="108"/>
      <c r="U20" s="108"/>
      <c r="V20" s="108"/>
    </row>
    <row r="21" spans="1:22" s="97" customFormat="1" ht="20">
      <c r="B21" s="103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7"/>
      <c r="P21" s="214"/>
      <c r="Q21" s="214"/>
      <c r="R21" s="214"/>
      <c r="S21" s="214"/>
      <c r="T21" s="214"/>
      <c r="U21" s="214"/>
      <c r="V21" s="214"/>
    </row>
    <row r="22" spans="1:22" s="97" customFormat="1" ht="20">
      <c r="A22" s="104" t="s">
        <v>46</v>
      </c>
      <c r="B22" s="105" t="s">
        <v>47</v>
      </c>
      <c r="C22" s="215">
        <f ca="1">SUM(OFFSET('Monthly measurements - 1&amp;2 '!$AX21,0,-3*(COLUMN($R$22)-COLUMN()),1,-3))</f>
        <v>24</v>
      </c>
      <c r="D22" s="215">
        <f ca="1">SUM(OFFSET('Monthly measurements - 1&amp;2 '!$AX21,0,-3*(COLUMN($R$22)-COLUMN()),1,-3))</f>
        <v>24</v>
      </c>
      <c r="E22" s="215">
        <f ca="1">SUM(OFFSET('Monthly measurements - 1&amp;2 '!$AX21,0,-3*(COLUMN($R$22)-COLUMN()),1,-3))</f>
        <v>24</v>
      </c>
      <c r="F22" s="215">
        <f ca="1">SUM(OFFSET('Monthly measurements - 1&amp;2 '!$AX21,0,-3*(COLUMN($R$22)-COLUMN()),1,-3))</f>
        <v>36</v>
      </c>
      <c r="G22" s="215">
        <f ca="1">SUM(OFFSET('Monthly measurements - 1&amp;2 '!$AX21,0,-3*(COLUMN($R$22)-COLUMN()),1,-3))</f>
        <v>36</v>
      </c>
      <c r="H22" s="215">
        <f ca="1">SUM(OFFSET('Monthly measurements - 1&amp;2 '!$AX21,0,-3*(COLUMN($R$22)-COLUMN()),1,-3))</f>
        <v>60</v>
      </c>
      <c r="I22" s="215">
        <f ca="1">SUM(OFFSET('Monthly measurements - 1&amp;2 '!$AX21,0,-3*(COLUMN($R$22)-COLUMN()),1,-3))</f>
        <v>50.5</v>
      </c>
      <c r="J22" s="215">
        <f ca="1">SUM(OFFSET('Monthly measurements - 1&amp;2 '!$AX21,0,-3*(COLUMN($R$22)-COLUMN()),1,-3))</f>
        <v>44.75</v>
      </c>
      <c r="K22" s="215">
        <f ca="1">SUM(OFFSET('Monthly measurements - 1&amp;2 '!$AX21,0,-3*(COLUMN($R$22)-COLUMN()),1,-3))</f>
        <v>92.75</v>
      </c>
      <c r="L22" s="215">
        <f ca="1">SUM(OFFSET('Monthly measurements - 1&amp;2 '!$AX21,0,-3*(COLUMN($R$22)-COLUMN()),1,-3))</f>
        <v>147.75</v>
      </c>
      <c r="M22" s="215">
        <f ca="1">SUM(OFFSET('Monthly measurements - 1&amp;2 '!$AX21,0,-3*(COLUMN($R$22)-COLUMN()),1,-3))</f>
        <v>62.5</v>
      </c>
      <c r="N22" s="215">
        <f ca="1">SUM(OFFSET('Monthly measurements - 1&amp;2 '!$AX21,0,-3*(COLUMN($R$22)-COLUMN()),1,-3))</f>
        <v>126.25</v>
      </c>
      <c r="O22" s="215">
        <f ca="1">SUM(OFFSET('Monthly measurements - 1&amp;2 '!$AX21,0,-3*(COLUMN($R$22)-COLUMN()),1,-3))</f>
        <v>197.75</v>
      </c>
      <c r="P22" s="215">
        <f ca="1">SUM(OFFSET('Monthly measurements - 1&amp;2 '!$AX21,0,-3*(COLUMN($R$22)-COLUMN()),1,-3))</f>
        <v>463</v>
      </c>
      <c r="Q22" s="215">
        <f ca="1">SUM(OFFSET('Monthly measurements - 1&amp;2 '!$AX21,0,-3*(COLUMN($R$22)-COLUMN()),1,-3))</f>
        <v>506</v>
      </c>
      <c r="R22" s="215">
        <f ca="1">SUM(OFFSET('Monthly measurements - 1&amp;2 '!$AX21,0,-3*(COLUMN($R$22)-COLUMN()),1,-3))</f>
        <v>578</v>
      </c>
      <c r="S22" s="214"/>
      <c r="T22" s="214"/>
      <c r="U22" s="214"/>
      <c r="V22" s="214"/>
    </row>
    <row r="23" spans="1:22" s="97" customFormat="1" ht="20">
      <c r="A23" s="104" t="s">
        <v>48</v>
      </c>
      <c r="B23" s="105" t="s">
        <v>44</v>
      </c>
      <c r="C23" s="218">
        <f ca="1">AVERAGE(OFFSET('Monthly measurements - 1&amp;2 '!$AX22,0,-3*(COLUMN($R$23)-COLUMN()),1,-3))</f>
        <v>0</v>
      </c>
      <c r="D23" s="218">
        <f ca="1">AVERAGE(OFFSET('Monthly measurements - 1&amp;2 '!$AX22,0,-3*(COLUMN($R$23)-COLUMN()),1,-3))</f>
        <v>0</v>
      </c>
      <c r="E23" s="218">
        <f ca="1">AVERAGE(OFFSET('Monthly measurements - 1&amp;2 '!$AX22,0,-3*(COLUMN($R$23)-COLUMN()),1,-3))</f>
        <v>0</v>
      </c>
      <c r="F23" s="218">
        <f ca="1">AVERAGE(OFFSET('Monthly measurements - 1&amp;2 '!$AX22,0,-3*(COLUMN($R$23)-COLUMN()),1,-3))</f>
        <v>0</v>
      </c>
      <c r="G23" s="218">
        <f ca="1">AVERAGE(OFFSET('Monthly measurements - 1&amp;2 '!$AX22,0,-3*(COLUMN($R$23)-COLUMN()),1,-3))</f>
        <v>0</v>
      </c>
      <c r="H23" s="218">
        <f ca="1">AVERAGE(OFFSET('Monthly measurements - 1&amp;2 '!$AX22,0,-3*(COLUMN($R$23)-COLUMN()),1,-3))</f>
        <v>0.66666666666666663</v>
      </c>
      <c r="I23" s="218">
        <f ca="1">AVERAGE(OFFSET('Monthly measurements - 1&amp;2 '!$AX22,0,-3*(COLUMN($R$23)-COLUMN()),1,-3))</f>
        <v>1</v>
      </c>
      <c r="J23" s="218">
        <f ca="1">AVERAGE(OFFSET('Monthly measurements - 1&amp;2 '!$AX22,0,-3*(COLUMN($R$23)-COLUMN()),1,-3))</f>
        <v>4</v>
      </c>
      <c r="K23" s="218">
        <f ca="1">AVERAGE(OFFSET('Monthly measurements - 1&amp;2 '!$AX22,0,-3*(COLUMN($R$23)-COLUMN()),1,-3))</f>
        <v>4</v>
      </c>
      <c r="L23" s="218">
        <f ca="1">AVERAGE(OFFSET('Monthly measurements - 1&amp;2 '!$AX22,0,-3*(COLUMN($R$23)-COLUMN()),1,-3))</f>
        <v>3.6666666666666665</v>
      </c>
      <c r="M23" s="218">
        <f ca="1">AVERAGE(OFFSET('Monthly measurements - 1&amp;2 '!$AX22,0,-3*(COLUMN($R$23)-COLUMN()),1,-3))</f>
        <v>3</v>
      </c>
      <c r="N23" s="218">
        <f ca="1">AVERAGE(OFFSET('Monthly measurements - 1&amp;2 '!$AX22,0,-3*(COLUMN($R$23)-COLUMN()),1,-3))</f>
        <v>5</v>
      </c>
      <c r="O23" s="218">
        <f ca="1">AVERAGE(OFFSET('Monthly measurements - 1&amp;2 '!$AX22,0,-3*(COLUMN($R$23)-COLUMN()),1,-3))</f>
        <v>6</v>
      </c>
      <c r="P23" s="218">
        <f ca="1">AVERAGE(OFFSET('Monthly measurements - 1&amp;2 '!$AX22,0,-3*(COLUMN($R$23)-COLUMN()),1,-3))</f>
        <v>5</v>
      </c>
      <c r="Q23" s="218">
        <f ca="1">AVERAGE(OFFSET('Monthly measurements - 1&amp;2 '!$AX22,0,-3*(COLUMN($R$23)-COLUMN()),1,-3))</f>
        <v>4.333333333333333</v>
      </c>
      <c r="R23" s="218">
        <f ca="1">AVERAGE(OFFSET('Monthly measurements - 1&amp;2 '!$AX22,0,-3*(COLUMN($R$23)-COLUMN()),1,-3))</f>
        <v>5.333333333333333</v>
      </c>
      <c r="S23" s="214"/>
      <c r="T23" s="214"/>
      <c r="U23" s="214"/>
      <c r="V23" s="214"/>
    </row>
    <row r="24" spans="1:22" s="97" customFormat="1" ht="20">
      <c r="A24" s="106" t="s">
        <v>49</v>
      </c>
      <c r="B24" s="107" t="s">
        <v>28</v>
      </c>
      <c r="C24" s="109">
        <f ca="1">AVERAGE(OFFSET('Monthly measurements - 1&amp;2 '!$AX23,0,-3*(COLUMN($R$24)-COLUMN()),1,-3))</f>
        <v>0</v>
      </c>
      <c r="D24" s="109">
        <f ca="1">AVERAGE(OFFSET('Monthly measurements - 1&amp;2 '!$AX23,0,-3*(COLUMN($R$24)-COLUMN()),1,-3))</f>
        <v>0</v>
      </c>
      <c r="E24" s="109">
        <f ca="1">AVERAGE(OFFSET('Monthly measurements - 1&amp;2 '!$AX23,0,-3*(COLUMN($R$24)-COLUMN()),1,-3))</f>
        <v>0</v>
      </c>
      <c r="F24" s="109">
        <f ca="1">AVERAGE(OFFSET('Monthly measurements - 1&amp;2 '!$AX23,0,-3*(COLUMN($R$24)-COLUMN()),1,-3))</f>
        <v>0</v>
      </c>
      <c r="G24" s="109">
        <f ca="1">AVERAGE(OFFSET('Monthly measurements - 1&amp;2 '!$AX23,0,-3*(COLUMN($R$24)-COLUMN()),1,-3))</f>
        <v>0</v>
      </c>
      <c r="H24" s="109">
        <f ca="1">AVERAGE(OFFSET('Monthly measurements - 1&amp;2 '!$AX23,0,-3*(COLUMN($R$24)-COLUMN()),1,-3))</f>
        <v>0.12222222222222223</v>
      </c>
      <c r="I24" s="109">
        <f ca="1">AVERAGE(OFFSET('Monthly measurements - 1&amp;2 '!$AX23,0,-3*(COLUMN($R$24)-COLUMN()),1,-3))</f>
        <v>0.14285714285714285</v>
      </c>
      <c r="J24" s="109">
        <f ca="1">AVERAGE(OFFSET('Monthly measurements - 1&amp;2 '!$AX23,0,-3*(COLUMN($R$24)-COLUMN()),1,-3))</f>
        <v>0.52380952380952384</v>
      </c>
      <c r="K24" s="109">
        <f ca="1">AVERAGE(OFFSET('Monthly measurements - 1&amp;2 '!$AX23,0,-3*(COLUMN($R$24)-COLUMN()),1,-3))</f>
        <v>0.44444444444444442</v>
      </c>
      <c r="L24" s="109">
        <f ca="1">AVERAGE(OFFSET('Monthly measurements - 1&amp;2 '!$AX23,0,-3*(COLUMN($R$24)-COLUMN()),1,-3))</f>
        <v>0.3925925925925926</v>
      </c>
      <c r="M24" s="109">
        <f ca="1">AVERAGE(OFFSET('Monthly measurements - 1&amp;2 '!$AX23,0,-3*(COLUMN($R$24)-COLUMN()),1,-3))</f>
        <v>0.32748538011695905</v>
      </c>
      <c r="N24" s="109">
        <f ca="1">AVERAGE(OFFSET('Monthly measurements - 1&amp;2 '!$AX23,0,-3*(COLUMN($R$24)-COLUMN()),1,-3))</f>
        <v>0.34722222222222215</v>
      </c>
      <c r="O24" s="109">
        <f ca="1">AVERAGE(OFFSET('Monthly measurements - 1&amp;2 '!$AX23,0,-3*(COLUMN($R$24)-COLUMN()),1,-3))</f>
        <v>0.36764705882352944</v>
      </c>
      <c r="P24" s="109">
        <f ca="1">AVERAGE(OFFSET('Monthly measurements - 1&amp;2 '!$AX23,0,-3*(COLUMN($R$24)-COLUMN()),1,-3))</f>
        <v>0.32638888888888884</v>
      </c>
      <c r="Q24" s="109">
        <f ca="1">AVERAGE(OFFSET('Monthly measurements - 1&amp;2 '!$AX23,0,-3*(COLUMN($R$24)-COLUMN()),1,-3))</f>
        <v>0.25490196078431371</v>
      </c>
      <c r="R24" s="109">
        <f ca="1">AVERAGE(OFFSET('Monthly measurements - 1&amp;2 '!$AX23,0,-3*(COLUMN($R$24)-COLUMN()),1,-3))</f>
        <v>0.31331699346405228</v>
      </c>
      <c r="S24" s="214"/>
      <c r="T24" s="214"/>
      <c r="U24" s="214"/>
      <c r="V24" s="214"/>
    </row>
    <row r="25" spans="1:22" s="97" customFormat="1" ht="20">
      <c r="A25" s="106" t="s">
        <v>50</v>
      </c>
      <c r="B25" s="107" t="s">
        <v>44</v>
      </c>
      <c r="C25" s="215">
        <f ca="1">AVERAGE(OFFSET('Monthly measurements - 1&amp;2 '!$AX24,0,-3*(COLUMN($R$25)-COLUMN()),1,-3))</f>
        <v>0</v>
      </c>
      <c r="D25" s="215">
        <f ca="1">AVERAGE(OFFSET('Monthly measurements - 1&amp;2 '!$AX24,0,-3*(COLUMN($R$25)-COLUMN()),1,-3))</f>
        <v>0</v>
      </c>
      <c r="E25" s="215">
        <f ca="1">AVERAGE(OFFSET('Monthly measurements - 1&amp;2 '!$AX24,0,-3*(COLUMN($R$25)-COLUMN()),1,-3))</f>
        <v>0</v>
      </c>
      <c r="F25" s="215">
        <f ca="1">AVERAGE(OFFSET('Monthly measurements - 1&amp;2 '!$AX24,0,-3*(COLUMN($R$25)-COLUMN()),1,-3))</f>
        <v>0</v>
      </c>
      <c r="G25" s="215">
        <f ca="1">AVERAGE(OFFSET('Monthly measurements - 1&amp;2 '!$AX24,0,-3*(COLUMN($R$25)-COLUMN()),1,-3))</f>
        <v>0</v>
      </c>
      <c r="H25" s="215">
        <f ca="1">AVERAGE(OFFSET('Monthly measurements - 1&amp;2 '!$AX24,0,-3*(COLUMN($R$25)-COLUMN()),1,-3))</f>
        <v>0</v>
      </c>
      <c r="I25" s="215">
        <f ca="1">AVERAGE(OFFSET('Monthly measurements - 1&amp;2 '!$AX24,0,-3*(COLUMN($R$25)-COLUMN()),1,-3))</f>
        <v>0</v>
      </c>
      <c r="J25" s="215">
        <f ca="1">AVERAGE(OFFSET('Monthly measurements - 1&amp;2 '!$AX24,0,-3*(COLUMN($R$25)-COLUMN()),1,-3))</f>
        <v>0.33333333333333331</v>
      </c>
      <c r="K25" s="215">
        <f ca="1">AVERAGE(OFFSET('Monthly measurements - 1&amp;2 '!$AX24,0,-3*(COLUMN($R$25)-COLUMN()),1,-3))</f>
        <v>1</v>
      </c>
      <c r="L25" s="215">
        <f ca="1">AVERAGE(OFFSET('Monthly measurements - 1&amp;2 '!$AX24,0,-3*(COLUMN($R$25)-COLUMN()),1,-3))</f>
        <v>1</v>
      </c>
      <c r="M25" s="215">
        <f ca="1">AVERAGE(OFFSET('Monthly measurements - 1&amp;2 '!$AX24,0,-3*(COLUMN($R$25)-COLUMN()),1,-3))</f>
        <v>1</v>
      </c>
      <c r="N25" s="215">
        <f ca="1">AVERAGE(OFFSET('Monthly measurements - 1&amp;2 '!$AX24,0,-3*(COLUMN($R$25)-COLUMN()),1,-3))</f>
        <v>1</v>
      </c>
      <c r="O25" s="215">
        <f ca="1">AVERAGE(OFFSET('Monthly measurements - 1&amp;2 '!$AX24,0,-3*(COLUMN($R$25)-COLUMN()),1,-3))</f>
        <v>1</v>
      </c>
      <c r="P25" s="215">
        <f ca="1">AVERAGE(OFFSET('Monthly measurements - 1&amp;2 '!$AX24,0,-3*(COLUMN($R$25)-COLUMN()),1,-3))</f>
        <v>1</v>
      </c>
      <c r="Q25" s="215">
        <f ca="1">AVERAGE(OFFSET('Monthly measurements - 1&amp;2 '!$AX24,0,-3*(COLUMN($R$25)-COLUMN()),1,-3))</f>
        <v>1</v>
      </c>
      <c r="R25" s="215">
        <f ca="1">AVERAGE(OFFSET('Monthly measurements - 1&amp;2 '!$AX24,0,-3*(COLUMN($R$25)-COLUMN()),1,-3))</f>
        <v>2</v>
      </c>
      <c r="S25" s="214"/>
      <c r="T25" s="214"/>
      <c r="U25" s="214"/>
      <c r="V25" s="214"/>
    </row>
    <row r="26" spans="1:22" s="97" customFormat="1" ht="20">
      <c r="A26" s="106" t="s">
        <v>51</v>
      </c>
      <c r="B26" s="107" t="s">
        <v>28</v>
      </c>
      <c r="C26" s="109">
        <f ca="1">AVERAGE(OFFSET('Monthly measurements - 1&amp;2 '!$AX25,0,-3*(COLUMN($R$26)-COLUMN()),1,-3))</f>
        <v>0</v>
      </c>
      <c r="D26" s="109">
        <f ca="1">AVERAGE(OFFSET('Monthly measurements - 1&amp;2 '!$AX25,0,-3*(COLUMN($R$26)-COLUMN()),1,-3))</f>
        <v>0</v>
      </c>
      <c r="E26" s="109">
        <f ca="1">AVERAGE(OFFSET('Monthly measurements - 1&amp;2 '!$AX25,0,-3*(COLUMN($R$26)-COLUMN()),1,-3))</f>
        <v>0</v>
      </c>
      <c r="F26" s="109">
        <f ca="1">AVERAGE(OFFSET('Monthly measurements - 1&amp;2 '!$AX25,0,-3*(COLUMN($R$26)-COLUMN()),1,-3))</f>
        <v>0</v>
      </c>
      <c r="G26" s="109">
        <f ca="1">AVERAGE(OFFSET('Monthly measurements - 1&amp;2 '!$AX25,0,-3*(COLUMN($R$26)-COLUMN()),1,-3))</f>
        <v>0</v>
      </c>
      <c r="H26" s="109">
        <f ca="1">AVERAGE(OFFSET('Monthly measurements - 1&amp;2 '!$AX25,0,-3*(COLUMN($R$26)-COLUMN()),1,-3))</f>
        <v>0</v>
      </c>
      <c r="I26" s="109">
        <f ca="1">AVERAGE(OFFSET('Monthly measurements - 1&amp;2 '!$AX25,0,-3*(COLUMN($R$26)-COLUMN()),1,-3))</f>
        <v>0</v>
      </c>
      <c r="J26" s="109">
        <f ca="1">AVERAGE(OFFSET('Monthly measurements - 1&amp;2 '!$AX25,0,-3*(COLUMN($R$26)-COLUMN()),1,-3))</f>
        <v>4.1666666666666664E-2</v>
      </c>
      <c r="K26" s="109">
        <f ca="1">AVERAGE(OFFSET('Monthly measurements - 1&amp;2 '!$AX25,0,-3*(COLUMN($R$26)-COLUMN()),1,-3))</f>
        <v>0.1111111111111111</v>
      </c>
      <c r="L26" s="109">
        <f ca="1">AVERAGE(OFFSET('Monthly measurements - 1&amp;2 '!$AX25,0,-3*(COLUMN($R$26)-COLUMN()),1,-3))</f>
        <v>0.1074074074074074</v>
      </c>
      <c r="M26" s="109">
        <f ca="1">AVERAGE(OFFSET('Monthly measurements - 1&amp;2 '!$AX25,0,-3*(COLUMN($R$26)-COLUMN()),1,-3))</f>
        <v>0.10916179337231968</v>
      </c>
      <c r="N26" s="109">
        <f ca="1">AVERAGE(OFFSET('Monthly measurements - 1&amp;2 '!$AX25,0,-3*(COLUMN($R$26)-COLUMN()),1,-3))</f>
        <v>7.0833333333333331E-2</v>
      </c>
      <c r="O26" s="109">
        <f ca="1">AVERAGE(OFFSET('Monthly measurements - 1&amp;2 '!$AX25,0,-3*(COLUMN($R$26)-COLUMN()),1,-3))</f>
        <v>6.1274509803921573E-2</v>
      </c>
      <c r="P26" s="109">
        <f ca="1">AVERAGE(OFFSET('Monthly measurements - 1&amp;2 '!$AX25,0,-3*(COLUMN($R$26)-COLUMN()),1,-3))</f>
        <v>6.5277777777777768E-2</v>
      </c>
      <c r="Q26" s="109">
        <f ca="1">AVERAGE(OFFSET('Monthly measurements - 1&amp;2 '!$AX25,0,-3*(COLUMN($R$26)-COLUMN()),1,-3))</f>
        <v>5.8823529411764698E-2</v>
      </c>
      <c r="R26" s="109">
        <f ca="1">AVERAGE(OFFSET('Monthly measurements - 1&amp;2 '!$AX25,0,-3*(COLUMN($R$26)-COLUMN()),1,-3))</f>
        <v>0.1179193899782135</v>
      </c>
      <c r="S26" s="214"/>
      <c r="T26" s="214"/>
      <c r="U26" s="214"/>
      <c r="V26" s="214"/>
    </row>
    <row r="27" spans="1:22" s="97" customFormat="1" ht="20">
      <c r="A27" s="106" t="s">
        <v>52</v>
      </c>
      <c r="B27" s="107" t="s">
        <v>44</v>
      </c>
      <c r="C27" s="215">
        <f ca="1">AVERAGE(OFFSET('Monthly measurements - 1&amp;2 '!$AX26,0,-3*(COLUMN($R$27)-COLUMN()),1,-3))</f>
        <v>0</v>
      </c>
      <c r="D27" s="215">
        <f ca="1">AVERAGE(OFFSET('Monthly measurements - 1&amp;2 '!$AX26,0,-3*(COLUMN($R$27)-COLUMN()),1,-3))</f>
        <v>0</v>
      </c>
      <c r="E27" s="215">
        <f ca="1">AVERAGE(OFFSET('Monthly measurements - 1&amp;2 '!$AX26,0,-3*(COLUMN($R$27)-COLUMN()),1,-3))</f>
        <v>0</v>
      </c>
      <c r="F27" s="215">
        <f ca="1">AVERAGE(OFFSET('Monthly measurements - 1&amp;2 '!$AX26,0,-3*(COLUMN($R$27)-COLUMN()),1,-3))</f>
        <v>0</v>
      </c>
      <c r="G27" s="215">
        <f ca="1">AVERAGE(OFFSET('Monthly measurements - 1&amp;2 '!$AX26,0,-3*(COLUMN($R$27)-COLUMN()),1,-3))</f>
        <v>0</v>
      </c>
      <c r="H27" s="215">
        <f ca="1">AVERAGE(OFFSET('Monthly measurements - 1&amp;2 '!$AX26,0,-3*(COLUMN($R$27)-COLUMN()),1,-3))</f>
        <v>0</v>
      </c>
      <c r="I27" s="215">
        <f ca="1">AVERAGE(OFFSET('Monthly measurements - 1&amp;2 '!$AX26,0,-3*(COLUMN($R$27)-COLUMN()),1,-3))</f>
        <v>0</v>
      </c>
      <c r="J27" s="215">
        <f ca="1">AVERAGE(OFFSET('Monthly measurements - 1&amp;2 '!$AX26,0,-3*(COLUMN($R$27)-COLUMN()),1,-3))</f>
        <v>0</v>
      </c>
      <c r="K27" s="215">
        <f ca="1">AVERAGE(OFFSET('Monthly measurements - 1&amp;2 '!$AX26,0,-3*(COLUMN($R$27)-COLUMN()),1,-3))</f>
        <v>0</v>
      </c>
      <c r="L27" s="215">
        <f ca="1">AVERAGE(OFFSET('Monthly measurements - 1&amp;2 '!$AX26,0,-3*(COLUMN($R$27)-COLUMN()),1,-3))</f>
        <v>0</v>
      </c>
      <c r="M27" s="215">
        <f ca="1">AVERAGE(OFFSET('Monthly measurements - 1&amp;2 '!$AX26,0,-3*(COLUMN($R$27)-COLUMN()),1,-3))</f>
        <v>0</v>
      </c>
      <c r="N27" s="215">
        <f ca="1">AVERAGE(OFFSET('Monthly measurements - 1&amp;2 '!$AX26,0,-3*(COLUMN($R$27)-COLUMN()),1,-3))</f>
        <v>0</v>
      </c>
      <c r="O27" s="215">
        <f ca="1">AVERAGE(OFFSET('Monthly measurements - 1&amp;2 '!$AX26,0,-3*(COLUMN($R$27)-COLUMN()),1,-3))</f>
        <v>0</v>
      </c>
      <c r="P27" s="215">
        <f ca="1">AVERAGE(OFFSET('Monthly measurements - 1&amp;2 '!$AX26,0,-3*(COLUMN($R$27)-COLUMN()),1,-3))</f>
        <v>0</v>
      </c>
      <c r="Q27" s="215">
        <f ca="1">AVERAGE(OFFSET('Monthly measurements - 1&amp;2 '!$AX26,0,-3*(COLUMN($R$27)-COLUMN()),1,-3))</f>
        <v>0</v>
      </c>
      <c r="R27" s="215">
        <f ca="1">AVERAGE(OFFSET('Monthly measurements - 1&amp;2 '!$AX26,0,-3*(COLUMN($R$27)-COLUMN()),1,-3))</f>
        <v>0</v>
      </c>
      <c r="S27" s="214"/>
      <c r="T27" s="214"/>
      <c r="U27" s="214"/>
      <c r="V27" s="214"/>
    </row>
    <row r="28" spans="1:22" s="97" customFormat="1" ht="20">
      <c r="A28" s="106" t="s">
        <v>53</v>
      </c>
      <c r="B28" s="107" t="s">
        <v>28</v>
      </c>
      <c r="C28" s="109">
        <f ca="1">AVERAGE(OFFSET('Monthly measurements - 1&amp;2 '!$AX27,0,-3*(COLUMN($R$28)-COLUMN()),1,-3))</f>
        <v>0</v>
      </c>
      <c r="D28" s="109">
        <f ca="1">AVERAGE(OFFSET('Monthly measurements - 1&amp;2 '!$AX27,0,-3*(COLUMN($R$28)-COLUMN()),1,-3))</f>
        <v>0</v>
      </c>
      <c r="E28" s="109">
        <f ca="1">AVERAGE(OFFSET('Monthly measurements - 1&amp;2 '!$AX27,0,-3*(COLUMN($R$28)-COLUMN()),1,-3))</f>
        <v>0</v>
      </c>
      <c r="F28" s="109">
        <f ca="1">AVERAGE(OFFSET('Monthly measurements - 1&amp;2 '!$AX27,0,-3*(COLUMN($R$28)-COLUMN()),1,-3))</f>
        <v>0</v>
      </c>
      <c r="G28" s="109">
        <f ca="1">AVERAGE(OFFSET('Monthly measurements - 1&amp;2 '!$AX27,0,-3*(COLUMN($R$28)-COLUMN()),1,-3))</f>
        <v>0</v>
      </c>
      <c r="H28" s="109">
        <f ca="1">AVERAGE(OFFSET('Monthly measurements - 1&amp;2 '!$AX27,0,-3*(COLUMN($R$28)-COLUMN()),1,-3))</f>
        <v>0</v>
      </c>
      <c r="I28" s="109">
        <f ca="1">AVERAGE(OFFSET('Monthly measurements - 1&amp;2 '!$AX27,0,-3*(COLUMN($R$28)-COLUMN()),1,-3))</f>
        <v>0</v>
      </c>
      <c r="J28" s="109">
        <f ca="1">AVERAGE(OFFSET('Monthly measurements - 1&amp;2 '!$AX27,0,-3*(COLUMN($R$28)-COLUMN()),1,-3))</f>
        <v>0</v>
      </c>
      <c r="K28" s="109">
        <f ca="1">AVERAGE(OFFSET('Monthly measurements - 1&amp;2 '!$AX27,0,-3*(COLUMN($R$28)-COLUMN()),1,-3))</f>
        <v>0</v>
      </c>
      <c r="L28" s="109">
        <f ca="1">AVERAGE(OFFSET('Monthly measurements - 1&amp;2 '!$AX27,0,-3*(COLUMN($R$28)-COLUMN()),1,-3))</f>
        <v>0</v>
      </c>
      <c r="M28" s="109">
        <f ca="1">AVERAGE(OFFSET('Monthly measurements - 1&amp;2 '!$AX27,0,-3*(COLUMN($R$28)-COLUMN()),1,-3))</f>
        <v>0</v>
      </c>
      <c r="N28" s="109">
        <f ca="1">AVERAGE(OFFSET('Monthly measurements - 1&amp;2 '!$AX27,0,-3*(COLUMN($R$28)-COLUMN()),1,-3))</f>
        <v>0</v>
      </c>
      <c r="O28" s="109">
        <f ca="1">AVERAGE(OFFSET('Monthly measurements - 1&amp;2 '!$AX27,0,-3*(COLUMN($R$28)-COLUMN()),1,-3))</f>
        <v>0</v>
      </c>
      <c r="P28" s="109">
        <f ca="1">AVERAGE(OFFSET('Monthly measurements - 1&amp;2 '!$AX27,0,-3*(COLUMN($R$28)-COLUMN()),1,-3))</f>
        <v>0</v>
      </c>
      <c r="Q28" s="109">
        <f ca="1">AVERAGE(OFFSET('Monthly measurements - 1&amp;2 '!$AX27,0,-3*(COLUMN($R$28)-COLUMN()),1,-3))</f>
        <v>0</v>
      </c>
      <c r="R28" s="109">
        <f ca="1">AVERAGE(OFFSET('Monthly measurements - 1&amp;2 '!$AX27,0,-3*(COLUMN($R$28)-COLUMN()),1,-3))</f>
        <v>0</v>
      </c>
      <c r="S28" s="214"/>
      <c r="T28" s="214"/>
      <c r="U28" s="214"/>
      <c r="V28" s="214"/>
    </row>
    <row r="29" spans="1:22" s="97" customFormat="1" ht="20">
      <c r="B29" s="103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</row>
    <row r="30" spans="1:22" s="97" customFormat="1" ht="20">
      <c r="A30" s="110" t="s">
        <v>54</v>
      </c>
      <c r="B30" s="111" t="s">
        <v>55</v>
      </c>
      <c r="C30" s="219">
        <f ca="1">SUM(OFFSET('Monthly measurements - 1&amp;2 '!$AX29,0,-3*(COLUMN($R$30)-COLUMN()),1,-3))</f>
        <v>0</v>
      </c>
      <c r="D30" s="219">
        <f ca="1">SUM(OFFSET('Monthly measurements - 1&amp;2 '!$AX29,0,-3*(COLUMN($R$30)-COLUMN()),1,-3))</f>
        <v>0</v>
      </c>
      <c r="E30" s="219">
        <f ca="1">SUM(OFFSET('Monthly measurements - 1&amp;2 '!$AX29,0,-3*(COLUMN($R$30)-COLUMN()),1,-3))</f>
        <v>0</v>
      </c>
      <c r="F30" s="219">
        <f ca="1">SUM(OFFSET('Monthly measurements - 1&amp;2 '!$AX29,0,-3*(COLUMN($R$30)-COLUMN()),1,-3))</f>
        <v>0</v>
      </c>
      <c r="G30" s="219">
        <f ca="1">SUM(OFFSET('Monthly measurements - 1&amp;2 '!$AX29,0,-3*(COLUMN($R$30)-COLUMN()),1,-3))</f>
        <v>0</v>
      </c>
      <c r="H30" s="219">
        <f ca="1">SUM(OFFSET('Monthly measurements - 1&amp;2 '!$AX29,0,-3*(COLUMN($R$30)-COLUMN()),1,-3))</f>
        <v>0</v>
      </c>
      <c r="I30" s="219">
        <f ca="1">SUM(OFFSET('Monthly measurements - 1&amp;2 '!$AX29,0,-3*(COLUMN($R$30)-COLUMN()),1,-3))</f>
        <v>0</v>
      </c>
      <c r="J30" s="219">
        <f ca="1">SUM(OFFSET('Monthly measurements - 1&amp;2 '!$AX29,0,-3*(COLUMN($R$30)-COLUMN()),1,-3))</f>
        <v>0</v>
      </c>
      <c r="K30" s="219">
        <f ca="1">SUM(OFFSET('Monthly measurements - 1&amp;2 '!$AX29,0,-3*(COLUMN($R$30)-COLUMN()),1,-3))</f>
        <v>0</v>
      </c>
      <c r="L30" s="219">
        <f ca="1">SUM(OFFSET('Monthly measurements - 1&amp;2 '!$AX29,0,-3*(COLUMN($R$30)-COLUMN()),1,-3))</f>
        <v>0</v>
      </c>
      <c r="M30" s="219">
        <f ca="1">SUM(OFFSET('Monthly measurements - 1&amp;2 '!$AX29,0,-3*(COLUMN($R$30)-COLUMN()),1,-3))</f>
        <v>0.20699999999999999</v>
      </c>
      <c r="N30" s="219">
        <f ca="1">SUM(OFFSET('Monthly measurements - 1&amp;2 '!$AX29,0,-3*(COLUMN($R$30)-COLUMN()),1,-3))</f>
        <v>0.13500000000000001</v>
      </c>
      <c r="O30" s="219">
        <f ca="1">SUM(OFFSET('Monthly measurements - 1&amp;2 '!$AX29,0,-3*(COLUMN($R$30)-COLUMN()),1,-3))</f>
        <v>0.14200000000000002</v>
      </c>
      <c r="P30" s="219">
        <f ca="1">SUM(OFFSET('Monthly measurements - 1&amp;2 '!$AX29,0,-3*(COLUMN($R$30)-COLUMN()),1,-3))</f>
        <v>0.128</v>
      </c>
      <c r="Q30" s="219">
        <f ca="1">SUM(OFFSET('Monthly measurements - 1&amp;2 '!$AX29,0,-3*(COLUMN($R$30)-COLUMN()),1,-3))</f>
        <v>0.16599999999999998</v>
      </c>
      <c r="R30" s="219">
        <f ca="1">SUM(OFFSET('Monthly measurements - 1&amp;2 '!$AX29,0,-3*(COLUMN($R$30)-COLUMN()),1,-3))</f>
        <v>7.2000000000000008E-2</v>
      </c>
      <c r="S30" s="214"/>
      <c r="T30" s="214"/>
      <c r="U30" s="214"/>
      <c r="V30" s="214"/>
    </row>
    <row r="31" spans="1:22" s="97" customFormat="1" ht="20">
      <c r="A31" s="112" t="s">
        <v>56</v>
      </c>
      <c r="B31" s="111" t="s">
        <v>28</v>
      </c>
      <c r="C31" s="109">
        <f ca="1">AVERAGE(OFFSET('Monthly measurements - 1&amp;2 '!$AX31,0,-3*(COLUMN($R$31)-COLUMN()),1,-3))</f>
        <v>0</v>
      </c>
      <c r="D31" s="109">
        <f ca="1">AVERAGE(OFFSET('Monthly measurements - 1&amp;2 '!$AX31,0,-3*(COLUMN($R$31)-COLUMN()),1,-3))</f>
        <v>0</v>
      </c>
      <c r="E31" s="109">
        <f ca="1">AVERAGE(OFFSET('Monthly measurements - 1&amp;2 '!$AX31,0,-3*(COLUMN($R$31)-COLUMN()),1,-3))</f>
        <v>0</v>
      </c>
      <c r="F31" s="109">
        <f ca="1">AVERAGE(OFFSET('Monthly measurements - 1&amp;2 '!$AX31,0,-3*(COLUMN($R$31)-COLUMN()),1,-3))</f>
        <v>0</v>
      </c>
      <c r="G31" s="109">
        <f ca="1">AVERAGE(OFFSET('Monthly measurements - 1&amp;2 '!$AX31,0,-3*(COLUMN($R$31)-COLUMN()),1,-3))</f>
        <v>0</v>
      </c>
      <c r="H31" s="109">
        <f ca="1">AVERAGE(OFFSET('Monthly measurements - 1&amp;2 '!$AX31,0,-3*(COLUMN($R$31)-COLUMN()),1,-3))</f>
        <v>0</v>
      </c>
      <c r="I31" s="109">
        <f ca="1">AVERAGE(OFFSET('Monthly measurements - 1&amp;2 '!$AX31,0,-3*(COLUMN($R$31)-COLUMN()),1,-3))</f>
        <v>0</v>
      </c>
      <c r="J31" s="109">
        <f ca="1">AVERAGE(OFFSET('Monthly measurements - 1&amp;2 '!$AX31,0,-3*(COLUMN($R$31)-COLUMN()),1,-3))</f>
        <v>0</v>
      </c>
      <c r="K31" s="109">
        <f ca="1">AVERAGE(OFFSET('Monthly measurements - 1&amp;2 '!$AX31,0,-3*(COLUMN($R$31)-COLUMN()),1,-3))</f>
        <v>0</v>
      </c>
      <c r="L31" s="109">
        <f ca="1">AVERAGE(OFFSET('Monthly measurements - 1&amp;2 '!$AX31,0,-3*(COLUMN($R$31)-COLUMN()),1,-3))</f>
        <v>0</v>
      </c>
      <c r="M31" s="109">
        <f ca="1">AVERAGE(OFFSET('Monthly measurements - 1&amp;2 '!$AX31,0,-3*(COLUMN($R$31)-COLUMN()),1,-3))</f>
        <v>0</v>
      </c>
      <c r="N31" s="109">
        <f ca="1">AVERAGE(OFFSET('Monthly measurements - 1&amp;2 '!$AX31,0,-3*(COLUMN($R$31)-COLUMN()),1,-3))</f>
        <v>0</v>
      </c>
      <c r="O31" s="109">
        <f ca="1">AVERAGE(OFFSET('Monthly measurements - 1&amp;2 '!$AX31,0,-3*(COLUMN($R$31)-COLUMN()),1,-3))</f>
        <v>0</v>
      </c>
      <c r="P31" s="109">
        <f ca="1">AVERAGE(OFFSET('Monthly measurements - 1&amp;2 '!$AX31,0,-3*(COLUMN($R$31)-COLUMN()),1,-3))</f>
        <v>0</v>
      </c>
      <c r="Q31" s="109">
        <f ca="1">AVERAGE(OFFSET('Monthly measurements - 1&amp;2 '!$AX31,0,-3*(COLUMN($R$31)-COLUMN()),1,-3))</f>
        <v>0</v>
      </c>
      <c r="R31" s="109">
        <f ca="1">AVERAGE(OFFSET('Monthly measurements - 1&amp;2 '!$AX31,0,-3*(COLUMN($R$31)-COLUMN()),1,-3))</f>
        <v>0</v>
      </c>
      <c r="S31" s="214"/>
      <c r="T31" s="214"/>
      <c r="U31" s="214"/>
      <c r="V31" s="214"/>
    </row>
    <row r="32" spans="1:22" s="97" customFormat="1" ht="20"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20"/>
      <c r="P32" s="214"/>
      <c r="Q32" s="214"/>
      <c r="R32" s="214"/>
      <c r="S32" s="214"/>
      <c r="T32" s="214"/>
      <c r="U32" s="214"/>
      <c r="V32" s="214"/>
    </row>
    <row r="33" spans="3:22" s="97" customFormat="1" ht="20"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</row>
    <row r="34" spans="3:22">
      <c r="O34" s="221"/>
    </row>
  </sheetData>
  <phoneticPr fontId="2" type="noConversion"/>
  <pageMargins left="0.7" right="0.7" top="0.75" bottom="0.75" header="0.3" footer="0.3"/>
  <pageSetup paperSize="9" orientation="portrait" horizontalDpi="0" verticalDpi="0" r:id="rId1"/>
  <ignoredErrors>
    <ignoredError sqref="Q15:R15 O15:P15 M15:N15 K15:L15 I15:J15 G15:H15 E15:F15 C15:D1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C934-C146-46B0-80EB-26166EB089C6}">
  <dimension ref="A8:AX48"/>
  <sheetViews>
    <sheetView topLeftCell="A7" zoomScale="89" zoomScaleNormal="89" workbookViewId="0">
      <pane xSplit="2" ySplit="2" topLeftCell="C9" activePane="bottomRight" state="frozen"/>
      <selection pane="topRight" activeCell="E6" sqref="E6"/>
      <selection pane="bottomLeft" activeCell="E6" sqref="E6"/>
      <selection pane="bottomRight" activeCell="AF29" sqref="C29:AF29"/>
    </sheetView>
  </sheetViews>
  <sheetFormatPr baseColWidth="10" defaultColWidth="8.83203125" defaultRowHeight="15"/>
  <cols>
    <col min="1" max="1" width="65" bestFit="1" customWidth="1"/>
    <col min="2" max="2" width="12.33203125" style="2" bestFit="1" customWidth="1"/>
    <col min="3" max="4" width="9.5" style="2" customWidth="1"/>
    <col min="5" max="5" width="10.1640625" style="2" customWidth="1"/>
    <col min="6" max="6" width="8.83203125" style="2" customWidth="1"/>
    <col min="7" max="7" width="9.6640625" style="2" customWidth="1"/>
    <col min="8" max="8" width="8.1640625" style="2" customWidth="1"/>
    <col min="9" max="9" width="9.6640625" style="2" customWidth="1"/>
    <col min="10" max="10" width="7.83203125" style="2" bestFit="1" customWidth="1"/>
    <col min="11" max="11" width="9.5" style="2" customWidth="1"/>
    <col min="12" max="12" width="8.83203125" style="2" customWidth="1"/>
    <col min="13" max="13" width="7.1640625" style="2" bestFit="1" customWidth="1"/>
    <col min="14" max="14" width="8.5" style="2" customWidth="1"/>
    <col min="15" max="15" width="9.5" style="2" customWidth="1"/>
    <col min="16" max="16" width="8.5" style="2" customWidth="1"/>
    <col min="17" max="17" width="9.5" style="2" customWidth="1"/>
    <col min="18" max="18" width="7.1640625" style="2" bestFit="1" customWidth="1"/>
    <col min="19" max="19" width="9.1640625" style="2" customWidth="1"/>
    <col min="20" max="21" width="7" style="2" bestFit="1" customWidth="1"/>
    <col min="22" max="22" width="7.83203125" style="2" bestFit="1" customWidth="1"/>
    <col min="23" max="23" width="8" style="2" customWidth="1"/>
    <col min="24" max="24" width="9.1640625" style="2" customWidth="1"/>
    <col min="25" max="25" width="7.1640625" style="2" bestFit="1" customWidth="1"/>
    <col min="26" max="26" width="7" style="2" bestFit="1" customWidth="1"/>
    <col min="27" max="27" width="7.83203125" style="2" customWidth="1"/>
    <col min="28" max="28" width="9.1640625" style="2" customWidth="1"/>
    <col min="29" max="29" width="7" style="11" bestFit="1" customWidth="1"/>
    <col min="30" max="30" width="7.1640625" style="11" bestFit="1" customWidth="1"/>
    <col min="31" max="31" width="7.33203125" style="11" bestFit="1" customWidth="1"/>
    <col min="32" max="32" width="7" style="11" bestFit="1" customWidth="1"/>
    <col min="33" max="33" width="12" style="11" bestFit="1" customWidth="1"/>
    <col min="34" max="34" width="7.83203125" style="11" bestFit="1" customWidth="1"/>
    <col min="35" max="35" width="7" style="11" bestFit="1" customWidth="1"/>
    <col min="36" max="36" width="7.5" style="11" bestFit="1" customWidth="1"/>
    <col min="37" max="38" width="7.6640625" bestFit="1" customWidth="1"/>
    <col min="39" max="39" width="7.1640625" style="11" bestFit="1" customWidth="1"/>
    <col min="40" max="40" width="7.33203125" style="11" bestFit="1" customWidth="1"/>
    <col min="41" max="41" width="7" style="11" bestFit="1" customWidth="1"/>
    <col min="42" max="42" width="7.1640625" style="11" bestFit="1" customWidth="1"/>
    <col min="43" max="43" width="7.33203125" style="11" bestFit="1" customWidth="1"/>
    <col min="44" max="45" width="7" style="11" bestFit="1" customWidth="1"/>
    <col min="46" max="46" width="7.83203125" style="11" bestFit="1" customWidth="1"/>
    <col min="47" max="47" width="7" style="11" bestFit="1" customWidth="1"/>
    <col min="48" max="48" width="7.6640625" bestFit="1" customWidth="1"/>
    <col min="49" max="49" width="7.1640625" bestFit="1" customWidth="1"/>
    <col min="50" max="50" width="7" bestFit="1" customWidth="1"/>
  </cols>
  <sheetData>
    <row r="8" spans="1:50">
      <c r="B8" s="2" t="s">
        <v>57</v>
      </c>
      <c r="C8" s="200">
        <f t="shared" ref="C8:AV8" si="0">EDATE($AX8, COLUMN($AX8)-COLUMN())</f>
        <v>45992</v>
      </c>
      <c r="D8" s="200">
        <f t="shared" si="0"/>
        <v>45962</v>
      </c>
      <c r="E8" s="200">
        <f t="shared" si="0"/>
        <v>45931</v>
      </c>
      <c r="F8" s="200">
        <f t="shared" si="0"/>
        <v>45901</v>
      </c>
      <c r="G8" s="200">
        <f t="shared" si="0"/>
        <v>45870</v>
      </c>
      <c r="H8" s="200">
        <f t="shared" si="0"/>
        <v>45839</v>
      </c>
      <c r="I8" s="200">
        <f t="shared" si="0"/>
        <v>45809</v>
      </c>
      <c r="J8" s="200">
        <f t="shared" si="0"/>
        <v>45778</v>
      </c>
      <c r="K8" s="200">
        <f t="shared" si="0"/>
        <v>45748</v>
      </c>
      <c r="L8" s="200">
        <f t="shared" si="0"/>
        <v>45717</v>
      </c>
      <c r="M8" s="200">
        <f t="shared" si="0"/>
        <v>45689</v>
      </c>
      <c r="N8" s="200">
        <f t="shared" si="0"/>
        <v>45658</v>
      </c>
      <c r="O8" s="200">
        <f t="shared" si="0"/>
        <v>45627</v>
      </c>
      <c r="P8" s="200">
        <f t="shared" si="0"/>
        <v>45597</v>
      </c>
      <c r="Q8" s="200">
        <f t="shared" si="0"/>
        <v>45566</v>
      </c>
      <c r="R8" s="200">
        <f t="shared" si="0"/>
        <v>45536</v>
      </c>
      <c r="S8" s="200">
        <f t="shared" si="0"/>
        <v>45505</v>
      </c>
      <c r="T8" s="200">
        <f t="shared" si="0"/>
        <v>45474</v>
      </c>
      <c r="U8" s="200">
        <f t="shared" si="0"/>
        <v>45444</v>
      </c>
      <c r="V8" s="200">
        <f t="shared" si="0"/>
        <v>45413</v>
      </c>
      <c r="W8" s="200">
        <f t="shared" si="0"/>
        <v>45383</v>
      </c>
      <c r="X8" s="200">
        <f t="shared" si="0"/>
        <v>45352</v>
      </c>
      <c r="Y8" s="200">
        <f t="shared" si="0"/>
        <v>45323</v>
      </c>
      <c r="Z8" s="200">
        <f t="shared" si="0"/>
        <v>45292</v>
      </c>
      <c r="AA8" s="200">
        <f t="shared" si="0"/>
        <v>45261</v>
      </c>
      <c r="AB8" s="200">
        <f t="shared" si="0"/>
        <v>45231</v>
      </c>
      <c r="AC8" s="200">
        <f t="shared" si="0"/>
        <v>45200</v>
      </c>
      <c r="AD8" s="200">
        <f t="shared" si="0"/>
        <v>45170</v>
      </c>
      <c r="AE8" s="200">
        <f t="shared" si="0"/>
        <v>45139</v>
      </c>
      <c r="AF8" s="200">
        <f t="shared" si="0"/>
        <v>45108</v>
      </c>
      <c r="AG8" s="200">
        <f t="shared" si="0"/>
        <v>45078</v>
      </c>
      <c r="AH8" s="200">
        <f t="shared" si="0"/>
        <v>45047</v>
      </c>
      <c r="AI8" s="200">
        <f t="shared" si="0"/>
        <v>45017</v>
      </c>
      <c r="AJ8" s="200">
        <f t="shared" si="0"/>
        <v>44986</v>
      </c>
      <c r="AK8" s="200">
        <f t="shared" si="0"/>
        <v>44958</v>
      </c>
      <c r="AL8" s="200">
        <f t="shared" si="0"/>
        <v>44927</v>
      </c>
      <c r="AM8" s="200">
        <f t="shared" si="0"/>
        <v>44896</v>
      </c>
      <c r="AN8" s="200">
        <f t="shared" si="0"/>
        <v>44866</v>
      </c>
      <c r="AO8" s="200">
        <f t="shared" si="0"/>
        <v>44835</v>
      </c>
      <c r="AP8" s="200">
        <f t="shared" si="0"/>
        <v>44805</v>
      </c>
      <c r="AQ8" s="200">
        <f t="shared" si="0"/>
        <v>44774</v>
      </c>
      <c r="AR8" s="200">
        <f t="shared" si="0"/>
        <v>44743</v>
      </c>
      <c r="AS8" s="200">
        <f t="shared" si="0"/>
        <v>44713</v>
      </c>
      <c r="AT8" s="200">
        <f t="shared" si="0"/>
        <v>44682</v>
      </c>
      <c r="AU8" s="200">
        <f t="shared" si="0"/>
        <v>44652</v>
      </c>
      <c r="AV8" s="200">
        <f t="shared" si="0"/>
        <v>44621</v>
      </c>
      <c r="AW8" s="200">
        <f>EDATE($AX8, COLUMN($AX8)-COLUMN())</f>
        <v>44593</v>
      </c>
      <c r="AX8" s="200">
        <f>DATE(2022,1,1)</f>
        <v>44562</v>
      </c>
    </row>
    <row r="9" spans="1:50">
      <c r="A9" s="1" t="s">
        <v>58</v>
      </c>
      <c r="B9" s="3" t="s">
        <v>28</v>
      </c>
      <c r="C9" s="209">
        <v>0</v>
      </c>
      <c r="D9" s="209">
        <v>0</v>
      </c>
      <c r="E9" s="209">
        <v>0</v>
      </c>
      <c r="F9" s="209">
        <v>0</v>
      </c>
      <c r="G9" s="209">
        <v>0</v>
      </c>
      <c r="H9" s="209">
        <v>0</v>
      </c>
      <c r="I9" s="209">
        <v>0</v>
      </c>
      <c r="J9" s="209">
        <v>0</v>
      </c>
      <c r="K9" s="209">
        <v>0</v>
      </c>
      <c r="L9" s="209">
        <v>0</v>
      </c>
      <c r="M9" s="209">
        <v>0</v>
      </c>
      <c r="N9" s="209">
        <v>0</v>
      </c>
      <c r="O9" s="209">
        <v>0</v>
      </c>
      <c r="P9" s="209">
        <v>0</v>
      </c>
      <c r="Q9" s="209">
        <v>0</v>
      </c>
      <c r="R9" s="209">
        <v>0</v>
      </c>
      <c r="S9" s="209">
        <v>0</v>
      </c>
      <c r="T9" s="209">
        <v>0</v>
      </c>
      <c r="U9" s="209">
        <v>0</v>
      </c>
      <c r="V9" s="209">
        <v>0</v>
      </c>
      <c r="W9" s="209">
        <v>0</v>
      </c>
      <c r="X9" s="209">
        <v>0</v>
      </c>
      <c r="Y9" s="209">
        <v>0</v>
      </c>
      <c r="Z9" s="209">
        <v>0</v>
      </c>
      <c r="AA9" s="209">
        <v>0</v>
      </c>
      <c r="AB9" s="209">
        <v>0</v>
      </c>
      <c r="AC9" s="209">
        <v>0</v>
      </c>
      <c r="AD9" s="209">
        <v>0</v>
      </c>
      <c r="AE9" s="209">
        <v>0</v>
      </c>
      <c r="AF9" s="209">
        <v>0</v>
      </c>
      <c r="AG9" s="238">
        <v>0.72</v>
      </c>
      <c r="AH9" s="238">
        <v>0.72</v>
      </c>
      <c r="AI9" s="238">
        <v>0.72</v>
      </c>
      <c r="AJ9" s="238">
        <v>0.72</v>
      </c>
      <c r="AK9" s="238">
        <v>0.72</v>
      </c>
      <c r="AL9" s="238">
        <v>0.72</v>
      </c>
      <c r="AM9" s="238">
        <v>0.72</v>
      </c>
      <c r="AN9" s="238">
        <v>0.72</v>
      </c>
      <c r="AO9" s="238">
        <v>0.72</v>
      </c>
      <c r="AP9" s="238">
        <v>0.72</v>
      </c>
      <c r="AQ9" s="238">
        <v>0.72</v>
      </c>
      <c r="AR9" s="238">
        <v>0.72</v>
      </c>
      <c r="AS9" s="238">
        <v>0.72</v>
      </c>
      <c r="AT9" s="238">
        <v>0.72</v>
      </c>
      <c r="AU9" s="238">
        <v>0.72</v>
      </c>
      <c r="AV9" s="238">
        <v>0.72</v>
      </c>
      <c r="AW9" s="238">
        <v>0.72</v>
      </c>
      <c r="AX9" s="238">
        <v>0.72</v>
      </c>
    </row>
    <row r="10" spans="1:50">
      <c r="A10" s="21" t="s">
        <v>30</v>
      </c>
      <c r="B10" s="22" t="s">
        <v>31</v>
      </c>
      <c r="C10" s="207">
        <v>0</v>
      </c>
      <c r="D10" s="207">
        <v>0</v>
      </c>
      <c r="E10" s="207">
        <v>0</v>
      </c>
      <c r="F10" s="207">
        <v>0</v>
      </c>
      <c r="G10" s="207">
        <v>0</v>
      </c>
      <c r="H10" s="207">
        <v>0</v>
      </c>
      <c r="I10" s="207">
        <v>0</v>
      </c>
      <c r="J10" s="207">
        <v>0</v>
      </c>
      <c r="K10" s="207">
        <v>0</v>
      </c>
      <c r="L10" s="207">
        <v>0</v>
      </c>
      <c r="M10" s="207">
        <v>0</v>
      </c>
      <c r="N10" s="207">
        <v>0</v>
      </c>
      <c r="O10" s="207">
        <v>0</v>
      </c>
      <c r="P10" s="207">
        <v>0</v>
      </c>
      <c r="Q10" s="207">
        <v>0</v>
      </c>
      <c r="R10" s="207">
        <v>0</v>
      </c>
      <c r="S10" s="207">
        <v>0</v>
      </c>
      <c r="T10" s="207">
        <v>0</v>
      </c>
      <c r="U10" s="207">
        <v>0</v>
      </c>
      <c r="V10" s="207">
        <v>0</v>
      </c>
      <c r="W10" s="207">
        <v>0</v>
      </c>
      <c r="X10" s="207">
        <v>0</v>
      </c>
      <c r="Y10" s="207">
        <v>0</v>
      </c>
      <c r="Z10" s="207">
        <v>0</v>
      </c>
      <c r="AA10" s="207">
        <v>0</v>
      </c>
      <c r="AB10" s="207">
        <v>0</v>
      </c>
      <c r="AC10" s="207">
        <v>0</v>
      </c>
      <c r="AD10" s="207">
        <v>0</v>
      </c>
      <c r="AE10" s="207">
        <v>0</v>
      </c>
      <c r="AF10" s="207">
        <v>0</v>
      </c>
      <c r="AG10" s="207">
        <v>250</v>
      </c>
      <c r="AH10" s="201">
        <v>250</v>
      </c>
      <c r="AI10" s="201">
        <v>250</v>
      </c>
      <c r="AJ10" s="201">
        <v>500</v>
      </c>
      <c r="AK10" s="201">
        <v>500</v>
      </c>
      <c r="AL10" s="201">
        <v>500</v>
      </c>
      <c r="AM10" s="201">
        <v>250</v>
      </c>
      <c r="AN10" s="201">
        <v>250</v>
      </c>
      <c r="AO10" s="201">
        <v>250</v>
      </c>
      <c r="AP10" s="201">
        <v>83</v>
      </c>
      <c r="AQ10" s="201">
        <v>83</v>
      </c>
      <c r="AR10" s="201">
        <v>83</v>
      </c>
      <c r="AS10" s="201">
        <v>83</v>
      </c>
      <c r="AT10" s="201">
        <v>83</v>
      </c>
      <c r="AU10" s="201">
        <v>83</v>
      </c>
      <c r="AV10" s="201">
        <v>275</v>
      </c>
      <c r="AW10" s="201">
        <v>275</v>
      </c>
      <c r="AX10" s="201">
        <v>275</v>
      </c>
    </row>
    <row r="11" spans="1:50">
      <c r="A11" s="24" t="s">
        <v>32</v>
      </c>
      <c r="B11" s="25" t="s">
        <v>33</v>
      </c>
      <c r="C11" s="208">
        <v>0</v>
      </c>
      <c r="D11" s="208">
        <v>0</v>
      </c>
      <c r="E11" s="208">
        <v>0</v>
      </c>
      <c r="F11" s="208">
        <v>0</v>
      </c>
      <c r="G11" s="208">
        <v>0</v>
      </c>
      <c r="H11" s="208">
        <v>0</v>
      </c>
      <c r="I11" s="208">
        <v>0</v>
      </c>
      <c r="J11" s="208">
        <v>0</v>
      </c>
      <c r="K11" s="208">
        <v>0</v>
      </c>
      <c r="L11" s="208">
        <v>0</v>
      </c>
      <c r="M11" s="208">
        <v>0</v>
      </c>
      <c r="N11" s="208">
        <v>0</v>
      </c>
      <c r="O11" s="208">
        <v>0</v>
      </c>
      <c r="P11" s="208">
        <v>0</v>
      </c>
      <c r="Q11" s="208">
        <v>0</v>
      </c>
      <c r="R11" s="208">
        <v>0</v>
      </c>
      <c r="S11" s="208">
        <v>0</v>
      </c>
      <c r="T11" s="208">
        <v>0</v>
      </c>
      <c r="U11" s="208">
        <v>0</v>
      </c>
      <c r="V11" s="208">
        <v>0</v>
      </c>
      <c r="W11" s="208">
        <v>0</v>
      </c>
      <c r="X11" s="208">
        <v>0</v>
      </c>
      <c r="Y11" s="208">
        <v>0</v>
      </c>
      <c r="Z11" s="208">
        <v>0</v>
      </c>
      <c r="AA11" s="208">
        <v>0</v>
      </c>
      <c r="AB11" s="208">
        <v>0</v>
      </c>
      <c r="AC11" s="208">
        <v>0</v>
      </c>
      <c r="AD11" s="208">
        <v>0</v>
      </c>
      <c r="AE11" s="208">
        <v>0</v>
      </c>
      <c r="AF11" s="208">
        <v>0</v>
      </c>
      <c r="AG11" s="202">
        <v>617</v>
      </c>
      <c r="AH11" s="202">
        <v>836</v>
      </c>
      <c r="AI11" s="202">
        <v>882</v>
      </c>
      <c r="AJ11" s="202">
        <v>1077</v>
      </c>
      <c r="AK11" s="202">
        <v>1026</v>
      </c>
      <c r="AL11" s="202">
        <v>1218</v>
      </c>
      <c r="AM11" s="202">
        <v>858</v>
      </c>
      <c r="AN11" s="202">
        <v>1097</v>
      </c>
      <c r="AO11" s="202">
        <v>955</v>
      </c>
      <c r="AP11" s="202">
        <v>978</v>
      </c>
      <c r="AQ11" s="202">
        <v>1138</v>
      </c>
      <c r="AR11" s="202">
        <v>1193</v>
      </c>
      <c r="AS11" s="202">
        <v>1039</v>
      </c>
      <c r="AT11" s="202">
        <v>1027</v>
      </c>
      <c r="AU11" s="202">
        <v>1221</v>
      </c>
      <c r="AV11" s="202">
        <f>1287+616.7</f>
        <v>1903.7</v>
      </c>
      <c r="AW11" s="202">
        <v>1172</v>
      </c>
      <c r="AX11" s="202">
        <v>931</v>
      </c>
    </row>
    <row r="12" spans="1:50">
      <c r="A12" s="21" t="s">
        <v>34</v>
      </c>
      <c r="B12" s="22" t="s">
        <v>35</v>
      </c>
      <c r="C12" s="207">
        <v>0</v>
      </c>
      <c r="D12" s="207">
        <v>0</v>
      </c>
      <c r="E12" s="207">
        <v>0</v>
      </c>
      <c r="F12" s="207">
        <v>0</v>
      </c>
      <c r="G12" s="207">
        <v>0</v>
      </c>
      <c r="H12" s="207">
        <v>0</v>
      </c>
      <c r="I12" s="207">
        <v>0</v>
      </c>
      <c r="J12" s="207">
        <v>0</v>
      </c>
      <c r="K12" s="207">
        <v>0</v>
      </c>
      <c r="L12" s="207">
        <v>0</v>
      </c>
      <c r="M12" s="207">
        <v>0</v>
      </c>
      <c r="N12" s="207">
        <v>0</v>
      </c>
      <c r="O12" s="207">
        <v>0</v>
      </c>
      <c r="P12" s="207">
        <v>0</v>
      </c>
      <c r="Q12" s="207">
        <v>0</v>
      </c>
      <c r="R12" s="207">
        <v>0</v>
      </c>
      <c r="S12" s="207">
        <v>0</v>
      </c>
      <c r="T12" s="207">
        <v>0</v>
      </c>
      <c r="U12" s="207">
        <v>0</v>
      </c>
      <c r="V12" s="207">
        <v>0</v>
      </c>
      <c r="W12" s="207">
        <v>0</v>
      </c>
      <c r="X12" s="207">
        <v>0</v>
      </c>
      <c r="Y12" s="207">
        <v>0</v>
      </c>
      <c r="Z12" s="207">
        <v>0</v>
      </c>
      <c r="AA12" s="207">
        <v>0</v>
      </c>
      <c r="AB12" s="207">
        <v>0</v>
      </c>
      <c r="AC12" s="207">
        <v>0</v>
      </c>
      <c r="AD12" s="207">
        <v>0</v>
      </c>
      <c r="AE12" s="207">
        <v>0</v>
      </c>
      <c r="AF12" s="207">
        <v>0</v>
      </c>
      <c r="AG12" s="201">
        <v>670</v>
      </c>
      <c r="AH12" s="201">
        <v>670</v>
      </c>
      <c r="AI12" s="201">
        <v>670</v>
      </c>
      <c r="AJ12" s="201">
        <v>754</v>
      </c>
      <c r="AK12" s="201">
        <v>1279</v>
      </c>
      <c r="AL12" s="201">
        <v>1279</v>
      </c>
      <c r="AM12" s="201">
        <v>639</v>
      </c>
      <c r="AN12" s="201">
        <v>639</v>
      </c>
      <c r="AO12" s="201">
        <v>639</v>
      </c>
      <c r="AP12" s="201">
        <v>212</v>
      </c>
      <c r="AQ12" s="201">
        <v>212</v>
      </c>
      <c r="AR12" s="201">
        <v>212</v>
      </c>
      <c r="AS12" s="201">
        <v>212</v>
      </c>
      <c r="AT12" s="201">
        <v>212</v>
      </c>
      <c r="AU12" s="201">
        <v>251</v>
      </c>
      <c r="AV12" s="201">
        <v>703</v>
      </c>
      <c r="AW12" s="201">
        <v>703</v>
      </c>
      <c r="AX12" s="201">
        <v>703</v>
      </c>
    </row>
    <row r="13" spans="1:50">
      <c r="A13" s="196" t="s">
        <v>36</v>
      </c>
      <c r="B13" s="232" t="s">
        <v>35</v>
      </c>
      <c r="C13" s="233">
        <v>0</v>
      </c>
      <c r="D13" s="233">
        <v>0</v>
      </c>
      <c r="E13" s="233">
        <v>77.5</v>
      </c>
      <c r="F13" s="233">
        <v>0</v>
      </c>
      <c r="G13" s="233">
        <v>0</v>
      </c>
      <c r="H13" s="233">
        <v>2.2400000000000002</v>
      </c>
      <c r="I13" s="233">
        <v>14.75</v>
      </c>
      <c r="J13" s="233">
        <v>39.96</v>
      </c>
      <c r="K13" s="233">
        <v>38.47</v>
      </c>
      <c r="L13" s="233">
        <v>39.96</v>
      </c>
      <c r="M13" s="233">
        <v>1.87</v>
      </c>
      <c r="N13" s="233">
        <v>0.56000000000000005</v>
      </c>
      <c r="O13" s="233">
        <v>0</v>
      </c>
      <c r="P13" s="233">
        <v>0</v>
      </c>
      <c r="Q13" s="233">
        <v>0</v>
      </c>
      <c r="R13" s="233">
        <v>0</v>
      </c>
      <c r="S13" s="233">
        <v>0</v>
      </c>
      <c r="T13" s="233">
        <v>0</v>
      </c>
      <c r="U13" s="233">
        <v>0</v>
      </c>
      <c r="V13" s="233">
        <v>0</v>
      </c>
      <c r="W13" s="233">
        <v>0</v>
      </c>
      <c r="X13" s="233">
        <v>0</v>
      </c>
      <c r="Y13" s="233">
        <v>0</v>
      </c>
      <c r="Z13" s="233">
        <v>0</v>
      </c>
      <c r="AA13" s="233">
        <v>0</v>
      </c>
      <c r="AB13" s="233">
        <v>0</v>
      </c>
      <c r="AC13" s="233">
        <v>0</v>
      </c>
      <c r="AD13" s="233">
        <v>0</v>
      </c>
      <c r="AE13" s="233">
        <v>0</v>
      </c>
      <c r="AF13" s="233">
        <v>0</v>
      </c>
      <c r="AG13" s="233">
        <v>0</v>
      </c>
      <c r="AH13" s="233">
        <v>0</v>
      </c>
      <c r="AI13" s="233">
        <v>0</v>
      </c>
      <c r="AJ13" s="233">
        <v>0</v>
      </c>
      <c r="AK13" s="233">
        <v>0</v>
      </c>
      <c r="AL13" s="233">
        <v>0</v>
      </c>
      <c r="AM13" s="233">
        <v>0</v>
      </c>
      <c r="AN13" s="233">
        <v>0</v>
      </c>
      <c r="AO13" s="233">
        <v>0</v>
      </c>
      <c r="AP13" s="233">
        <v>0</v>
      </c>
      <c r="AQ13" s="233">
        <v>0</v>
      </c>
      <c r="AR13" s="233">
        <v>0</v>
      </c>
      <c r="AS13" s="233">
        <v>0</v>
      </c>
      <c r="AT13" s="233">
        <v>0</v>
      </c>
      <c r="AU13" s="233">
        <v>0</v>
      </c>
      <c r="AV13" s="233">
        <v>0</v>
      </c>
      <c r="AW13" s="233">
        <v>0</v>
      </c>
      <c r="AX13" s="233">
        <v>0</v>
      </c>
    </row>
    <row r="14" spans="1:50">
      <c r="A14" s="24" t="s">
        <v>59</v>
      </c>
      <c r="B14" s="25" t="s">
        <v>35</v>
      </c>
      <c r="C14" s="208">
        <v>0</v>
      </c>
      <c r="D14" s="208">
        <v>0</v>
      </c>
      <c r="E14" s="208">
        <v>0</v>
      </c>
      <c r="F14" s="208">
        <v>0</v>
      </c>
      <c r="G14" s="208">
        <v>0</v>
      </c>
      <c r="H14" s="208">
        <v>0</v>
      </c>
      <c r="I14" s="208">
        <v>0</v>
      </c>
      <c r="J14" s="208">
        <v>0</v>
      </c>
      <c r="K14" s="208">
        <v>0</v>
      </c>
      <c r="L14" s="208">
        <v>0</v>
      </c>
      <c r="M14" s="208">
        <v>0</v>
      </c>
      <c r="N14" s="208">
        <v>0</v>
      </c>
      <c r="O14" s="208">
        <v>0</v>
      </c>
      <c r="P14" s="208">
        <v>0</v>
      </c>
      <c r="Q14" s="208">
        <v>0</v>
      </c>
      <c r="R14" s="208">
        <v>0</v>
      </c>
      <c r="S14" s="208">
        <v>0</v>
      </c>
      <c r="T14" s="208">
        <v>0</v>
      </c>
      <c r="U14" s="208">
        <v>0</v>
      </c>
      <c r="V14" s="208">
        <v>0</v>
      </c>
      <c r="W14" s="208">
        <v>0</v>
      </c>
      <c r="X14" s="208">
        <v>0</v>
      </c>
      <c r="Y14" s="208">
        <v>0</v>
      </c>
      <c r="Z14" s="208">
        <v>0</v>
      </c>
      <c r="AA14" s="208">
        <v>0</v>
      </c>
      <c r="AB14" s="208">
        <v>0</v>
      </c>
      <c r="AC14" s="208">
        <v>0</v>
      </c>
      <c r="AD14" s="208">
        <v>0</v>
      </c>
      <c r="AE14" s="208">
        <v>0</v>
      </c>
      <c r="AF14" s="208">
        <v>0</v>
      </c>
      <c r="AG14" s="202">
        <v>119</v>
      </c>
      <c r="AH14" s="202">
        <v>162</v>
      </c>
      <c r="AI14" s="202">
        <v>190</v>
      </c>
      <c r="AJ14" s="202">
        <v>229</v>
      </c>
      <c r="AK14" s="202">
        <v>218</v>
      </c>
      <c r="AL14" s="202">
        <v>235</v>
      </c>
      <c r="AM14" s="202">
        <v>166</v>
      </c>
      <c r="AN14" s="202">
        <v>212</v>
      </c>
      <c r="AO14" s="202">
        <v>184</v>
      </c>
      <c r="AP14" s="202">
        <v>189</v>
      </c>
      <c r="AQ14" s="202">
        <v>220</v>
      </c>
      <c r="AR14" s="202">
        <v>231</v>
      </c>
      <c r="AS14" s="202">
        <v>201</v>
      </c>
      <c r="AT14" s="202">
        <v>198</v>
      </c>
      <c r="AU14" s="202">
        <v>236</v>
      </c>
      <c r="AV14" s="202">
        <v>368</v>
      </c>
      <c r="AW14" s="202">
        <v>227</v>
      </c>
      <c r="AX14" s="202">
        <v>180</v>
      </c>
    </row>
    <row r="15" spans="1:50" ht="16" thickBot="1">
      <c r="A15" s="26" t="s">
        <v>60</v>
      </c>
      <c r="B15" s="27" t="s">
        <v>35</v>
      </c>
      <c r="C15" s="328">
        <f t="shared" ref="C15:AF15" si="1">SUM(C12:C14)</f>
        <v>0</v>
      </c>
      <c r="D15" s="328">
        <f t="shared" si="1"/>
        <v>0</v>
      </c>
      <c r="E15" s="328">
        <f t="shared" si="1"/>
        <v>77.5</v>
      </c>
      <c r="F15" s="328">
        <f t="shared" si="1"/>
        <v>0</v>
      </c>
      <c r="G15" s="328">
        <f t="shared" si="1"/>
        <v>0</v>
      </c>
      <c r="H15" s="328">
        <f t="shared" si="1"/>
        <v>2.2400000000000002</v>
      </c>
      <c r="I15" s="328">
        <f t="shared" si="1"/>
        <v>14.75</v>
      </c>
      <c r="J15" s="328">
        <f t="shared" si="1"/>
        <v>39.96</v>
      </c>
      <c r="K15" s="328">
        <f t="shared" si="1"/>
        <v>38.47</v>
      </c>
      <c r="L15" s="328">
        <f t="shared" si="1"/>
        <v>39.96</v>
      </c>
      <c r="M15" s="328">
        <f t="shared" si="1"/>
        <v>1.87</v>
      </c>
      <c r="N15" s="328">
        <f t="shared" si="1"/>
        <v>0.56000000000000005</v>
      </c>
      <c r="O15" s="328">
        <f t="shared" si="1"/>
        <v>0</v>
      </c>
      <c r="P15" s="328">
        <f t="shared" si="1"/>
        <v>0</v>
      </c>
      <c r="Q15" s="328">
        <f t="shared" si="1"/>
        <v>0</v>
      </c>
      <c r="R15" s="328">
        <f t="shared" si="1"/>
        <v>0</v>
      </c>
      <c r="S15" s="328">
        <f t="shared" si="1"/>
        <v>0</v>
      </c>
      <c r="T15" s="328">
        <f t="shared" si="1"/>
        <v>0</v>
      </c>
      <c r="U15" s="328">
        <f t="shared" si="1"/>
        <v>0</v>
      </c>
      <c r="V15" s="328">
        <f t="shared" si="1"/>
        <v>0</v>
      </c>
      <c r="W15" s="328">
        <f t="shared" si="1"/>
        <v>0</v>
      </c>
      <c r="X15" s="328">
        <f t="shared" si="1"/>
        <v>0</v>
      </c>
      <c r="Y15" s="328">
        <f t="shared" si="1"/>
        <v>0</v>
      </c>
      <c r="Z15" s="328">
        <f t="shared" si="1"/>
        <v>0</v>
      </c>
      <c r="AA15" s="328">
        <f t="shared" si="1"/>
        <v>0</v>
      </c>
      <c r="AB15" s="328">
        <f t="shared" si="1"/>
        <v>0</v>
      </c>
      <c r="AC15" s="328">
        <f t="shared" si="1"/>
        <v>0</v>
      </c>
      <c r="AD15" s="328">
        <f t="shared" si="1"/>
        <v>0</v>
      </c>
      <c r="AE15" s="328">
        <f t="shared" si="1"/>
        <v>0</v>
      </c>
      <c r="AF15" s="328">
        <f t="shared" si="1"/>
        <v>0</v>
      </c>
      <c r="AG15" s="328">
        <f t="shared" ref="AG15:AH15" si="2">SUM(AG12:AG14)</f>
        <v>789</v>
      </c>
      <c r="AH15" s="328">
        <f t="shared" si="2"/>
        <v>832</v>
      </c>
      <c r="AI15" s="328">
        <f>SUM(AI12:AI14)</f>
        <v>860</v>
      </c>
      <c r="AJ15" s="328">
        <f>SUM(AJ12:AJ14)</f>
        <v>983</v>
      </c>
      <c r="AK15" s="328">
        <f>SUM(AK12:AK14)</f>
        <v>1497</v>
      </c>
      <c r="AL15" s="328">
        <f t="shared" ref="AL15" si="3">SUM(AL12:AL14)</f>
        <v>1514</v>
      </c>
      <c r="AM15" s="328">
        <f t="shared" ref="AM15:AS15" si="4">SUM(AM12:AM14)</f>
        <v>805</v>
      </c>
      <c r="AN15" s="328">
        <f t="shared" si="4"/>
        <v>851</v>
      </c>
      <c r="AO15" s="328">
        <f t="shared" si="4"/>
        <v>823</v>
      </c>
      <c r="AP15" s="328">
        <f t="shared" si="4"/>
        <v>401</v>
      </c>
      <c r="AQ15" s="328">
        <f t="shared" si="4"/>
        <v>432</v>
      </c>
      <c r="AR15" s="328">
        <f t="shared" si="4"/>
        <v>443</v>
      </c>
      <c r="AS15" s="328">
        <f t="shared" si="4"/>
        <v>413</v>
      </c>
      <c r="AT15" s="328">
        <f t="shared" ref="AT15" si="5">SUM(AT12:AT14)</f>
        <v>410</v>
      </c>
      <c r="AU15" s="328">
        <f>SUM(AU12:AU14)</f>
        <v>487</v>
      </c>
      <c r="AV15" s="328">
        <f t="shared" ref="AV15:AX15" si="6">SUM(AV12:AV14)</f>
        <v>1071</v>
      </c>
      <c r="AW15" s="328">
        <f t="shared" si="6"/>
        <v>930</v>
      </c>
      <c r="AX15" s="328">
        <f t="shared" si="6"/>
        <v>883</v>
      </c>
    </row>
    <row r="16" spans="1:50">
      <c r="A16" s="15" t="s">
        <v>40</v>
      </c>
      <c r="B16" s="16" t="s">
        <v>41</v>
      </c>
      <c r="C16" s="203">
        <v>0</v>
      </c>
      <c r="D16" s="203">
        <v>0</v>
      </c>
      <c r="E16" s="203">
        <v>0</v>
      </c>
      <c r="F16" s="203">
        <v>0</v>
      </c>
      <c r="G16" s="203">
        <v>0</v>
      </c>
      <c r="H16" s="203">
        <v>0</v>
      </c>
      <c r="I16" s="203">
        <v>0</v>
      </c>
      <c r="J16" s="203">
        <v>0</v>
      </c>
      <c r="K16" s="203">
        <v>0</v>
      </c>
      <c r="L16" s="203">
        <v>0</v>
      </c>
      <c r="M16" s="203">
        <v>0</v>
      </c>
      <c r="N16" s="203">
        <v>0</v>
      </c>
      <c r="O16" s="203">
        <v>0</v>
      </c>
      <c r="P16" s="203">
        <v>0</v>
      </c>
      <c r="Q16" s="203">
        <v>0</v>
      </c>
      <c r="R16" s="203">
        <v>0</v>
      </c>
      <c r="S16" s="203">
        <v>0</v>
      </c>
      <c r="T16" s="203">
        <v>0</v>
      </c>
      <c r="U16" s="203">
        <v>0</v>
      </c>
      <c r="V16" s="203">
        <v>0</v>
      </c>
      <c r="W16" s="203">
        <v>0</v>
      </c>
      <c r="X16" s="203">
        <v>0</v>
      </c>
      <c r="Y16" s="203">
        <v>0</v>
      </c>
      <c r="Z16" s="203">
        <v>0</v>
      </c>
      <c r="AA16" s="203">
        <v>0</v>
      </c>
      <c r="AB16" s="203">
        <v>0</v>
      </c>
      <c r="AC16" s="203">
        <v>0</v>
      </c>
      <c r="AD16" s="203">
        <v>0</v>
      </c>
      <c r="AE16" s="203">
        <v>0</v>
      </c>
      <c r="AF16" s="203">
        <v>0</v>
      </c>
      <c r="AG16" s="203">
        <v>207</v>
      </c>
      <c r="AH16" s="203">
        <v>278</v>
      </c>
      <c r="AI16" s="203">
        <v>284</v>
      </c>
      <c r="AJ16" s="203">
        <v>347</v>
      </c>
      <c r="AK16" s="204">
        <f>AK11*0.3221</f>
        <v>330.47460000000001</v>
      </c>
      <c r="AL16" s="204">
        <f>AL11*0.3221</f>
        <v>392.31779999999998</v>
      </c>
      <c r="AM16" s="204">
        <f t="shared" ref="AM16:AT16" si="7">AM11*0.1491</f>
        <v>127.9278</v>
      </c>
      <c r="AN16" s="204">
        <f t="shared" si="7"/>
        <v>163.56270000000001</v>
      </c>
      <c r="AO16" s="204">
        <f t="shared" si="7"/>
        <v>142.3905</v>
      </c>
      <c r="AP16" s="204">
        <f t="shared" si="7"/>
        <v>145.81980000000001</v>
      </c>
      <c r="AQ16" s="204">
        <f t="shared" si="7"/>
        <v>169.67580000000001</v>
      </c>
      <c r="AR16" s="204">
        <f t="shared" si="7"/>
        <v>177.87630000000001</v>
      </c>
      <c r="AS16" s="204">
        <f t="shared" si="7"/>
        <v>154.91490000000002</v>
      </c>
      <c r="AT16" s="204">
        <f t="shared" si="7"/>
        <v>153.12570000000002</v>
      </c>
      <c r="AU16" s="204">
        <f>AU11*0.1491</f>
        <v>182.05110000000002</v>
      </c>
      <c r="AV16" s="203">
        <v>283</v>
      </c>
      <c r="AW16" s="203">
        <v>174</v>
      </c>
      <c r="AX16" s="203">
        <v>139</v>
      </c>
    </row>
    <row r="17" spans="1:50">
      <c r="A17" s="15" t="s">
        <v>42</v>
      </c>
      <c r="B17" s="16" t="s">
        <v>41</v>
      </c>
      <c r="C17" s="203">
        <v>0</v>
      </c>
      <c r="D17" s="203">
        <v>0</v>
      </c>
      <c r="E17" s="203">
        <v>0</v>
      </c>
      <c r="F17" s="203">
        <v>0</v>
      </c>
      <c r="G17" s="203">
        <v>0</v>
      </c>
      <c r="H17" s="203">
        <v>0</v>
      </c>
      <c r="I17" s="203">
        <v>0</v>
      </c>
      <c r="J17" s="203">
        <v>0</v>
      </c>
      <c r="K17" s="203">
        <v>0</v>
      </c>
      <c r="L17" s="203">
        <v>0</v>
      </c>
      <c r="M17" s="203">
        <v>0</v>
      </c>
      <c r="N17" s="203">
        <v>0</v>
      </c>
      <c r="O17" s="203">
        <v>0</v>
      </c>
      <c r="P17" s="203">
        <v>0</v>
      </c>
      <c r="Q17" s="203">
        <v>0</v>
      </c>
      <c r="R17" s="203">
        <v>0</v>
      </c>
      <c r="S17" s="203">
        <v>0</v>
      </c>
      <c r="T17" s="203">
        <v>0</v>
      </c>
      <c r="U17" s="203">
        <v>0</v>
      </c>
      <c r="V17" s="203">
        <v>0</v>
      </c>
      <c r="W17" s="203">
        <v>0</v>
      </c>
      <c r="X17" s="203">
        <v>0</v>
      </c>
      <c r="Y17" s="203">
        <v>0</v>
      </c>
      <c r="Z17" s="203">
        <v>0</v>
      </c>
      <c r="AA17" s="203">
        <v>0</v>
      </c>
      <c r="AB17" s="203">
        <v>0</v>
      </c>
      <c r="AC17" s="203">
        <v>0</v>
      </c>
      <c r="AD17" s="203">
        <v>0</v>
      </c>
      <c r="AE17" s="203">
        <v>0</v>
      </c>
      <c r="AF17" s="203">
        <v>0</v>
      </c>
      <c r="AG17" s="203">
        <v>167</v>
      </c>
      <c r="AH17" s="203">
        <v>200</v>
      </c>
      <c r="AI17" s="203">
        <v>200</v>
      </c>
      <c r="AJ17" s="203">
        <v>402</v>
      </c>
      <c r="AK17" s="203">
        <v>404</v>
      </c>
      <c r="AL17" s="203">
        <v>439</v>
      </c>
      <c r="AM17" s="203">
        <v>252</v>
      </c>
      <c r="AN17" s="203">
        <v>252</v>
      </c>
      <c r="AO17" s="203">
        <v>78</v>
      </c>
      <c r="AP17" s="203">
        <v>78</v>
      </c>
      <c r="AQ17" s="203">
        <v>78</v>
      </c>
      <c r="AR17" s="203">
        <v>78</v>
      </c>
      <c r="AS17" s="203">
        <v>78</v>
      </c>
      <c r="AT17" s="203">
        <v>78</v>
      </c>
      <c r="AU17" s="203">
        <v>78</v>
      </c>
      <c r="AV17" s="203">
        <v>161</v>
      </c>
      <c r="AW17" s="203">
        <v>161</v>
      </c>
      <c r="AX17" s="203">
        <v>161</v>
      </c>
    </row>
    <row r="18" spans="1:50">
      <c r="A18" s="1" t="s">
        <v>43</v>
      </c>
      <c r="B18" s="3" t="s">
        <v>44</v>
      </c>
      <c r="C18" s="205">
        <v>2</v>
      </c>
      <c r="D18" s="205">
        <v>2</v>
      </c>
      <c r="E18" s="205">
        <v>2</v>
      </c>
      <c r="F18" s="205">
        <v>2</v>
      </c>
      <c r="G18" s="205">
        <v>2</v>
      </c>
      <c r="H18" s="205">
        <v>2</v>
      </c>
      <c r="I18" s="205">
        <v>2</v>
      </c>
      <c r="J18" s="205">
        <v>2</v>
      </c>
      <c r="K18" s="205">
        <v>2</v>
      </c>
      <c r="L18" s="205">
        <v>3</v>
      </c>
      <c r="M18" s="205">
        <v>3</v>
      </c>
      <c r="N18" s="205">
        <v>3</v>
      </c>
      <c r="O18" s="205">
        <v>3</v>
      </c>
      <c r="P18" s="205">
        <v>3</v>
      </c>
      <c r="Q18" s="205">
        <v>3</v>
      </c>
      <c r="R18" s="205">
        <v>4</v>
      </c>
      <c r="S18" s="205">
        <v>5</v>
      </c>
      <c r="T18" s="205">
        <v>6</v>
      </c>
      <c r="U18" s="205">
        <v>7</v>
      </c>
      <c r="V18" s="205">
        <v>7</v>
      </c>
      <c r="W18" s="205">
        <v>7</v>
      </c>
      <c r="X18" s="205">
        <v>7</v>
      </c>
      <c r="Y18" s="205">
        <v>8</v>
      </c>
      <c r="Z18" s="205">
        <v>8</v>
      </c>
      <c r="AA18" s="205">
        <v>9</v>
      </c>
      <c r="AB18" s="205">
        <v>9</v>
      </c>
      <c r="AC18" s="205">
        <v>9</v>
      </c>
      <c r="AD18" s="205">
        <v>9</v>
      </c>
      <c r="AE18" s="205">
        <v>10</v>
      </c>
      <c r="AF18" s="205">
        <v>9</v>
      </c>
      <c r="AG18" s="205">
        <v>9</v>
      </c>
      <c r="AH18" s="205">
        <v>9</v>
      </c>
      <c r="AI18" s="205">
        <v>9.5</v>
      </c>
      <c r="AJ18" s="205">
        <v>12</v>
      </c>
      <c r="AK18" s="205">
        <v>15</v>
      </c>
      <c r="AL18" s="205">
        <v>16</v>
      </c>
      <c r="AM18" s="205">
        <v>16</v>
      </c>
      <c r="AN18" s="205">
        <v>16</v>
      </c>
      <c r="AO18" s="205">
        <v>17</v>
      </c>
      <c r="AP18" s="205">
        <v>16</v>
      </c>
      <c r="AQ18" s="205">
        <v>15</v>
      </c>
      <c r="AR18" s="205">
        <v>15</v>
      </c>
      <c r="AS18" s="205">
        <v>17</v>
      </c>
      <c r="AT18" s="205">
        <v>17</v>
      </c>
      <c r="AU18" s="205">
        <v>17</v>
      </c>
      <c r="AV18" s="205">
        <v>16</v>
      </c>
      <c r="AW18" s="205">
        <v>17</v>
      </c>
      <c r="AX18" s="205">
        <v>18</v>
      </c>
    </row>
    <row r="19" spans="1:50">
      <c r="A19" s="1" t="s">
        <v>45</v>
      </c>
      <c r="B19" s="3" t="s">
        <v>35</v>
      </c>
      <c r="C19" s="206">
        <f t="shared" ref="C19:AF19" si="8">C15/C18</f>
        <v>0</v>
      </c>
      <c r="D19" s="206">
        <f t="shared" si="8"/>
        <v>0</v>
      </c>
      <c r="E19" s="206">
        <f>E15/E18</f>
        <v>38.75</v>
      </c>
      <c r="F19" s="206">
        <f t="shared" si="8"/>
        <v>0</v>
      </c>
      <c r="G19" s="206">
        <f t="shared" si="8"/>
        <v>0</v>
      </c>
      <c r="H19" s="206">
        <f t="shared" si="8"/>
        <v>1.1200000000000001</v>
      </c>
      <c r="I19" s="206">
        <f t="shared" si="8"/>
        <v>7.375</v>
      </c>
      <c r="J19" s="206">
        <f t="shared" si="8"/>
        <v>19.98</v>
      </c>
      <c r="K19" s="206">
        <f t="shared" si="8"/>
        <v>19.234999999999999</v>
      </c>
      <c r="L19" s="206">
        <f t="shared" si="8"/>
        <v>13.32</v>
      </c>
      <c r="M19" s="206">
        <f t="shared" si="8"/>
        <v>0.62333333333333341</v>
      </c>
      <c r="N19" s="206">
        <f t="shared" si="8"/>
        <v>0.18666666666666668</v>
      </c>
      <c r="O19" s="206">
        <f t="shared" si="8"/>
        <v>0</v>
      </c>
      <c r="P19" s="206">
        <f t="shared" si="8"/>
        <v>0</v>
      </c>
      <c r="Q19" s="206">
        <f t="shared" si="8"/>
        <v>0</v>
      </c>
      <c r="R19" s="206">
        <f t="shared" si="8"/>
        <v>0</v>
      </c>
      <c r="S19" s="206">
        <f t="shared" si="8"/>
        <v>0</v>
      </c>
      <c r="T19" s="206">
        <f t="shared" si="8"/>
        <v>0</v>
      </c>
      <c r="U19" s="206">
        <f t="shared" si="8"/>
        <v>0</v>
      </c>
      <c r="V19" s="206">
        <f t="shared" si="8"/>
        <v>0</v>
      </c>
      <c r="W19" s="206">
        <f t="shared" si="8"/>
        <v>0</v>
      </c>
      <c r="X19" s="206">
        <f t="shared" si="8"/>
        <v>0</v>
      </c>
      <c r="Y19" s="206">
        <f t="shared" si="8"/>
        <v>0</v>
      </c>
      <c r="Z19" s="206">
        <f t="shared" si="8"/>
        <v>0</v>
      </c>
      <c r="AA19" s="206">
        <f t="shared" si="8"/>
        <v>0</v>
      </c>
      <c r="AB19" s="206">
        <f t="shared" si="8"/>
        <v>0</v>
      </c>
      <c r="AC19" s="206">
        <f t="shared" si="8"/>
        <v>0</v>
      </c>
      <c r="AD19" s="206">
        <f t="shared" si="8"/>
        <v>0</v>
      </c>
      <c r="AE19" s="206">
        <f t="shared" si="8"/>
        <v>0</v>
      </c>
      <c r="AF19" s="206">
        <f t="shared" si="8"/>
        <v>0</v>
      </c>
      <c r="AG19" s="206">
        <f t="shared" ref="AG19:AI19" si="9">AG15/AG18</f>
        <v>87.666666666666671</v>
      </c>
      <c r="AH19" s="206">
        <f t="shared" si="9"/>
        <v>92.444444444444443</v>
      </c>
      <c r="AI19" s="206">
        <f t="shared" si="9"/>
        <v>90.526315789473685</v>
      </c>
      <c r="AJ19" s="206">
        <f>AJ15/AJ18</f>
        <v>81.916666666666671</v>
      </c>
      <c r="AK19" s="206">
        <f>AK15/AK18</f>
        <v>99.8</v>
      </c>
      <c r="AL19" s="206">
        <f t="shared" ref="AL19" si="10">AL15/AL18</f>
        <v>94.625</v>
      </c>
      <c r="AM19" s="206">
        <f t="shared" ref="AM19:AS19" si="11">AM15/AM18</f>
        <v>50.3125</v>
      </c>
      <c r="AN19" s="206">
        <f t="shared" si="11"/>
        <v>53.1875</v>
      </c>
      <c r="AO19" s="206">
        <f t="shared" si="11"/>
        <v>48.411764705882355</v>
      </c>
      <c r="AP19" s="206">
        <f t="shared" si="11"/>
        <v>25.0625</v>
      </c>
      <c r="AQ19" s="206">
        <f t="shared" si="11"/>
        <v>28.8</v>
      </c>
      <c r="AR19" s="206">
        <f t="shared" si="11"/>
        <v>29.533333333333335</v>
      </c>
      <c r="AS19" s="206">
        <f t="shared" si="11"/>
        <v>24.294117647058822</v>
      </c>
      <c r="AT19" s="206">
        <f t="shared" ref="AT19" si="12">AT15/AT18</f>
        <v>24.117647058823529</v>
      </c>
      <c r="AU19" s="206">
        <f>AU15/AU18</f>
        <v>28.647058823529413</v>
      </c>
      <c r="AV19" s="206">
        <f t="shared" ref="AV19:AX19" si="13">AV15/AV18</f>
        <v>66.9375</v>
      </c>
      <c r="AW19" s="206">
        <f t="shared" si="13"/>
        <v>54.705882352941174</v>
      </c>
      <c r="AX19" s="206">
        <f t="shared" si="13"/>
        <v>49.055555555555557</v>
      </c>
    </row>
    <row r="20" spans="1:50">
      <c r="X20" s="11"/>
      <c r="Y20" s="11"/>
      <c r="Z20" s="11"/>
      <c r="AA20" s="11"/>
      <c r="AB20" s="11"/>
    </row>
    <row r="21" spans="1:50">
      <c r="A21" s="4" t="s">
        <v>46</v>
      </c>
      <c r="B21" s="5" t="s">
        <v>47</v>
      </c>
      <c r="C21" s="12">
        <v>8</v>
      </c>
      <c r="D21" s="12">
        <v>8</v>
      </c>
      <c r="E21" s="12">
        <v>8</v>
      </c>
      <c r="F21" s="12">
        <v>8</v>
      </c>
      <c r="G21" s="12">
        <v>8</v>
      </c>
      <c r="H21" s="12">
        <v>8</v>
      </c>
      <c r="I21" s="12">
        <v>8</v>
      </c>
      <c r="J21" s="12">
        <v>8</v>
      </c>
      <c r="K21" s="12">
        <v>8</v>
      </c>
      <c r="L21" s="12">
        <v>12</v>
      </c>
      <c r="M21" s="12">
        <v>12</v>
      </c>
      <c r="N21" s="12">
        <v>12</v>
      </c>
      <c r="O21" s="12">
        <v>12</v>
      </c>
      <c r="P21" s="12">
        <v>12</v>
      </c>
      <c r="Q21" s="12">
        <v>12</v>
      </c>
      <c r="R21" s="12">
        <v>16</v>
      </c>
      <c r="S21" s="12">
        <v>20</v>
      </c>
      <c r="T21" s="12">
        <v>24</v>
      </c>
      <c r="U21" s="12">
        <v>21</v>
      </c>
      <c r="V21" s="12">
        <v>17.25</v>
      </c>
      <c r="W21" s="12">
        <v>12.25</v>
      </c>
      <c r="X21" s="12">
        <v>15</v>
      </c>
      <c r="Y21" s="12">
        <v>11</v>
      </c>
      <c r="Z21" s="12">
        <v>18.75</v>
      </c>
      <c r="AA21" s="12">
        <v>38.5</v>
      </c>
      <c r="AB21" s="12">
        <v>41.25</v>
      </c>
      <c r="AC21" s="12">
        <v>13</v>
      </c>
      <c r="AD21" s="12">
        <v>75</v>
      </c>
      <c r="AE21" s="12">
        <v>66</v>
      </c>
      <c r="AF21" s="12">
        <v>6.75</v>
      </c>
      <c r="AG21" s="12">
        <v>17.5</v>
      </c>
      <c r="AH21" s="12">
        <v>15.25</v>
      </c>
      <c r="AI21" s="12">
        <v>29.75</v>
      </c>
      <c r="AJ21" s="12">
        <v>19</v>
      </c>
      <c r="AK21" s="12">
        <v>20.75</v>
      </c>
      <c r="AL21" s="12">
        <v>86.5</v>
      </c>
      <c r="AM21" s="12">
        <v>73.5</v>
      </c>
      <c r="AN21" s="12">
        <v>61.75</v>
      </c>
      <c r="AO21" s="12">
        <v>62.5</v>
      </c>
      <c r="AP21" s="12">
        <v>161</v>
      </c>
      <c r="AQ21" s="12">
        <v>126</v>
      </c>
      <c r="AR21" s="12">
        <v>176</v>
      </c>
      <c r="AS21" s="12">
        <v>226</v>
      </c>
      <c r="AT21" s="12">
        <v>160</v>
      </c>
      <c r="AU21" s="12">
        <v>120</v>
      </c>
      <c r="AV21" s="12">
        <v>161</v>
      </c>
      <c r="AW21" s="12">
        <v>297</v>
      </c>
      <c r="AX21" s="12">
        <v>120</v>
      </c>
    </row>
    <row r="22" spans="1:50">
      <c r="A22" s="4" t="s">
        <v>48</v>
      </c>
      <c r="B22" s="5" t="s">
        <v>44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1</v>
      </c>
      <c r="T22" s="12">
        <v>1</v>
      </c>
      <c r="U22" s="12">
        <v>1</v>
      </c>
      <c r="V22" s="12">
        <v>1</v>
      </c>
      <c r="W22" s="12">
        <v>1</v>
      </c>
      <c r="X22" s="12">
        <v>4</v>
      </c>
      <c r="Y22" s="12">
        <v>4</v>
      </c>
      <c r="Z22" s="12">
        <v>4</v>
      </c>
      <c r="AA22" s="12">
        <v>4</v>
      </c>
      <c r="AB22" s="12">
        <v>4</v>
      </c>
      <c r="AC22" s="12">
        <v>4</v>
      </c>
      <c r="AD22" s="12">
        <v>4</v>
      </c>
      <c r="AE22" s="12">
        <v>4</v>
      </c>
      <c r="AF22" s="12">
        <v>3</v>
      </c>
      <c r="AG22" s="12">
        <v>3</v>
      </c>
      <c r="AH22" s="12">
        <v>3</v>
      </c>
      <c r="AI22" s="12">
        <v>3</v>
      </c>
      <c r="AJ22" s="12">
        <v>4</v>
      </c>
      <c r="AK22" s="12">
        <v>5</v>
      </c>
      <c r="AL22" s="12">
        <v>6</v>
      </c>
      <c r="AM22" s="12">
        <v>6</v>
      </c>
      <c r="AN22" s="12">
        <v>6</v>
      </c>
      <c r="AO22" s="12">
        <v>6</v>
      </c>
      <c r="AP22" s="12">
        <v>5</v>
      </c>
      <c r="AQ22" s="12">
        <v>5</v>
      </c>
      <c r="AR22" s="12">
        <v>5</v>
      </c>
      <c r="AS22" s="12">
        <v>5</v>
      </c>
      <c r="AT22" s="12">
        <v>4</v>
      </c>
      <c r="AU22" s="12">
        <v>4</v>
      </c>
      <c r="AV22" s="12">
        <v>5</v>
      </c>
      <c r="AW22" s="12">
        <v>5</v>
      </c>
      <c r="AX22" s="12">
        <v>6</v>
      </c>
    </row>
    <row r="23" spans="1:50">
      <c r="A23" s="6" t="s">
        <v>49</v>
      </c>
      <c r="B23" s="7" t="s">
        <v>28</v>
      </c>
      <c r="C23" s="13">
        <f t="shared" ref="C23:T23" si="14">C22/C18</f>
        <v>0</v>
      </c>
      <c r="D23" s="13">
        <f t="shared" si="14"/>
        <v>0</v>
      </c>
      <c r="E23" s="13">
        <f t="shared" si="14"/>
        <v>0</v>
      </c>
      <c r="F23" s="13">
        <f t="shared" si="14"/>
        <v>0</v>
      </c>
      <c r="G23" s="13">
        <f t="shared" si="14"/>
        <v>0</v>
      </c>
      <c r="H23" s="13">
        <f t="shared" si="14"/>
        <v>0</v>
      </c>
      <c r="I23" s="13">
        <f t="shared" si="14"/>
        <v>0</v>
      </c>
      <c r="J23" s="13">
        <f t="shared" si="14"/>
        <v>0</v>
      </c>
      <c r="K23" s="13">
        <f t="shared" si="14"/>
        <v>0</v>
      </c>
      <c r="L23" s="13">
        <f t="shared" si="14"/>
        <v>0</v>
      </c>
      <c r="M23" s="13">
        <f t="shared" si="14"/>
        <v>0</v>
      </c>
      <c r="N23" s="13">
        <f t="shared" si="14"/>
        <v>0</v>
      </c>
      <c r="O23" s="13">
        <f t="shared" si="14"/>
        <v>0</v>
      </c>
      <c r="P23" s="13">
        <f t="shared" si="14"/>
        <v>0</v>
      </c>
      <c r="Q23" s="13">
        <f t="shared" si="14"/>
        <v>0</v>
      </c>
      <c r="R23" s="13">
        <f t="shared" si="14"/>
        <v>0</v>
      </c>
      <c r="S23" s="13">
        <f t="shared" si="14"/>
        <v>0.2</v>
      </c>
      <c r="T23" s="13">
        <f t="shared" si="14"/>
        <v>0.16666666666666666</v>
      </c>
      <c r="U23" s="13">
        <f t="shared" ref="U23:W23" si="15">U22/U18</f>
        <v>0.14285714285714285</v>
      </c>
      <c r="V23" s="13">
        <f t="shared" si="15"/>
        <v>0.14285714285714285</v>
      </c>
      <c r="W23" s="13">
        <f t="shared" si="15"/>
        <v>0.14285714285714285</v>
      </c>
      <c r="X23" s="13">
        <f t="shared" ref="X23:AB23" si="16">X22/X18</f>
        <v>0.5714285714285714</v>
      </c>
      <c r="Y23" s="13">
        <f t="shared" si="16"/>
        <v>0.5</v>
      </c>
      <c r="Z23" s="13">
        <f t="shared" si="16"/>
        <v>0.5</v>
      </c>
      <c r="AA23" s="13">
        <f t="shared" si="16"/>
        <v>0.44444444444444442</v>
      </c>
      <c r="AB23" s="13">
        <f t="shared" si="16"/>
        <v>0.44444444444444442</v>
      </c>
      <c r="AC23" s="13">
        <f t="shared" ref="AC23:AE23" si="17">AC22/AC18</f>
        <v>0.44444444444444442</v>
      </c>
      <c r="AD23" s="13">
        <f t="shared" si="17"/>
        <v>0.44444444444444442</v>
      </c>
      <c r="AE23" s="13">
        <f t="shared" si="17"/>
        <v>0.4</v>
      </c>
      <c r="AF23" s="13">
        <f t="shared" ref="AF23:AO23" si="18">AF22/AF18</f>
        <v>0.33333333333333331</v>
      </c>
      <c r="AG23" s="13">
        <f t="shared" si="18"/>
        <v>0.33333333333333331</v>
      </c>
      <c r="AH23" s="13">
        <f t="shared" si="18"/>
        <v>0.33333333333333331</v>
      </c>
      <c r="AI23" s="13">
        <f t="shared" si="18"/>
        <v>0.31578947368421051</v>
      </c>
      <c r="AJ23" s="13">
        <f t="shared" si="18"/>
        <v>0.33333333333333331</v>
      </c>
      <c r="AK23" s="13">
        <f t="shared" si="18"/>
        <v>0.33333333333333331</v>
      </c>
      <c r="AL23" s="13">
        <f t="shared" si="18"/>
        <v>0.375</v>
      </c>
      <c r="AM23" s="13">
        <f t="shared" si="18"/>
        <v>0.375</v>
      </c>
      <c r="AN23" s="13">
        <f t="shared" si="18"/>
        <v>0.375</v>
      </c>
      <c r="AO23" s="13">
        <f t="shared" si="18"/>
        <v>0.35294117647058826</v>
      </c>
      <c r="AP23" s="13">
        <f t="shared" ref="AP23" si="19">AP22/AP18</f>
        <v>0.3125</v>
      </c>
      <c r="AQ23" s="13">
        <f>AQ22/AQ18</f>
        <v>0.33333333333333331</v>
      </c>
      <c r="AR23" s="13">
        <f>AR22/AR18</f>
        <v>0.33333333333333331</v>
      </c>
      <c r="AS23" s="13">
        <f>AS22/AS18</f>
        <v>0.29411764705882354</v>
      </c>
      <c r="AT23" s="13">
        <f>AT22/AT18</f>
        <v>0.23529411764705882</v>
      </c>
      <c r="AU23" s="13">
        <f>AU22/AU18</f>
        <v>0.23529411764705882</v>
      </c>
      <c r="AV23" s="13">
        <f t="shared" ref="AV23:AX23" si="20">AV22/AV18</f>
        <v>0.3125</v>
      </c>
      <c r="AW23" s="13">
        <f t="shared" si="20"/>
        <v>0.29411764705882354</v>
      </c>
      <c r="AX23" s="13">
        <f t="shared" si="20"/>
        <v>0.33333333333333331</v>
      </c>
    </row>
    <row r="24" spans="1:50">
      <c r="A24" s="6" t="s">
        <v>50</v>
      </c>
      <c r="B24" s="7" t="s">
        <v>44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1</v>
      </c>
      <c r="AA24" s="19">
        <v>1</v>
      </c>
      <c r="AB24" s="19">
        <v>1</v>
      </c>
      <c r="AC24" s="19">
        <v>1</v>
      </c>
      <c r="AD24" s="19">
        <v>1</v>
      </c>
      <c r="AE24" s="19">
        <v>1</v>
      </c>
      <c r="AF24" s="19">
        <v>1</v>
      </c>
      <c r="AG24" s="19">
        <v>1</v>
      </c>
      <c r="AH24" s="19">
        <v>1</v>
      </c>
      <c r="AI24" s="19">
        <v>1</v>
      </c>
      <c r="AJ24" s="19">
        <v>1</v>
      </c>
      <c r="AK24" s="12">
        <v>1</v>
      </c>
      <c r="AL24" s="12">
        <v>1</v>
      </c>
      <c r="AM24" s="12">
        <v>1</v>
      </c>
      <c r="AN24" s="12">
        <v>1</v>
      </c>
      <c r="AO24" s="12">
        <v>1</v>
      </c>
      <c r="AP24" s="12">
        <v>1</v>
      </c>
      <c r="AQ24" s="12">
        <v>1</v>
      </c>
      <c r="AR24" s="12">
        <v>1</v>
      </c>
      <c r="AS24" s="12">
        <v>1</v>
      </c>
      <c r="AT24" s="12">
        <v>1</v>
      </c>
      <c r="AU24" s="12">
        <v>1</v>
      </c>
      <c r="AV24" s="12">
        <v>2</v>
      </c>
      <c r="AW24" s="12">
        <v>2</v>
      </c>
      <c r="AX24" s="12">
        <v>2</v>
      </c>
    </row>
    <row r="25" spans="1:50">
      <c r="A25" s="6" t="s">
        <v>51</v>
      </c>
      <c r="B25" s="7" t="s">
        <v>28</v>
      </c>
      <c r="C25" s="13">
        <f t="shared" ref="C25:S25" si="21">C24/C18</f>
        <v>0</v>
      </c>
      <c r="D25" s="13">
        <f t="shared" si="21"/>
        <v>0</v>
      </c>
      <c r="E25" s="13">
        <f t="shared" si="21"/>
        <v>0</v>
      </c>
      <c r="F25" s="13">
        <f t="shared" si="21"/>
        <v>0</v>
      </c>
      <c r="G25" s="13">
        <f t="shared" si="21"/>
        <v>0</v>
      </c>
      <c r="H25" s="13">
        <f t="shared" si="21"/>
        <v>0</v>
      </c>
      <c r="I25" s="13">
        <f t="shared" si="21"/>
        <v>0</v>
      </c>
      <c r="J25" s="13">
        <f t="shared" si="21"/>
        <v>0</v>
      </c>
      <c r="K25" s="13">
        <f t="shared" si="21"/>
        <v>0</v>
      </c>
      <c r="L25" s="13">
        <f t="shared" si="21"/>
        <v>0</v>
      </c>
      <c r="M25" s="13">
        <f t="shared" si="21"/>
        <v>0</v>
      </c>
      <c r="N25" s="13">
        <f t="shared" si="21"/>
        <v>0</v>
      </c>
      <c r="O25" s="13">
        <f t="shared" si="21"/>
        <v>0</v>
      </c>
      <c r="P25" s="13">
        <f t="shared" si="21"/>
        <v>0</v>
      </c>
      <c r="Q25" s="13">
        <f t="shared" si="21"/>
        <v>0</v>
      </c>
      <c r="R25" s="13">
        <f t="shared" si="21"/>
        <v>0</v>
      </c>
      <c r="S25" s="13">
        <f t="shared" si="21"/>
        <v>0</v>
      </c>
      <c r="T25" s="13">
        <f t="shared" ref="T25:W25" si="22">T24/T18</f>
        <v>0</v>
      </c>
      <c r="U25" s="13">
        <f t="shared" si="22"/>
        <v>0</v>
      </c>
      <c r="V25" s="13">
        <f t="shared" si="22"/>
        <v>0</v>
      </c>
      <c r="W25" s="13">
        <f t="shared" si="22"/>
        <v>0</v>
      </c>
      <c r="X25" s="13">
        <f t="shared" ref="X25:AB25" si="23">X24/X18</f>
        <v>0</v>
      </c>
      <c r="Y25" s="13">
        <f t="shared" si="23"/>
        <v>0</v>
      </c>
      <c r="Z25" s="13">
        <f t="shared" si="23"/>
        <v>0.125</v>
      </c>
      <c r="AA25" s="13">
        <f t="shared" si="23"/>
        <v>0.1111111111111111</v>
      </c>
      <c r="AB25" s="13">
        <f t="shared" si="23"/>
        <v>0.1111111111111111</v>
      </c>
      <c r="AC25" s="13">
        <f t="shared" ref="AC25:AE25" si="24">AC24/AC18</f>
        <v>0.1111111111111111</v>
      </c>
      <c r="AD25" s="13">
        <f t="shared" si="24"/>
        <v>0.1111111111111111</v>
      </c>
      <c r="AE25" s="13">
        <f t="shared" si="24"/>
        <v>0.1</v>
      </c>
      <c r="AF25" s="13">
        <f t="shared" ref="AF25:AO25" si="25">AF24/AF18</f>
        <v>0.1111111111111111</v>
      </c>
      <c r="AG25" s="13">
        <f t="shared" si="25"/>
        <v>0.1111111111111111</v>
      </c>
      <c r="AH25" s="13">
        <f t="shared" si="25"/>
        <v>0.1111111111111111</v>
      </c>
      <c r="AI25" s="13">
        <f t="shared" si="25"/>
        <v>0.10526315789473684</v>
      </c>
      <c r="AJ25" s="13">
        <f t="shared" si="25"/>
        <v>8.3333333333333329E-2</v>
      </c>
      <c r="AK25" s="13">
        <f t="shared" si="25"/>
        <v>6.6666666666666666E-2</v>
      </c>
      <c r="AL25" s="13">
        <f t="shared" si="25"/>
        <v>6.25E-2</v>
      </c>
      <c r="AM25" s="13">
        <f t="shared" si="25"/>
        <v>6.25E-2</v>
      </c>
      <c r="AN25" s="13">
        <f t="shared" si="25"/>
        <v>6.25E-2</v>
      </c>
      <c r="AO25" s="13">
        <f t="shared" si="25"/>
        <v>5.8823529411764705E-2</v>
      </c>
      <c r="AP25" s="13">
        <f t="shared" ref="AP25" si="26">AP24/AP18</f>
        <v>6.25E-2</v>
      </c>
      <c r="AQ25" s="13">
        <f>AQ24/AQ18</f>
        <v>6.6666666666666666E-2</v>
      </c>
      <c r="AR25" s="13">
        <f>AR24/AR18</f>
        <v>6.6666666666666666E-2</v>
      </c>
      <c r="AS25" s="13">
        <f>AS24/AS18</f>
        <v>5.8823529411764705E-2</v>
      </c>
      <c r="AT25" s="13">
        <f>AT24/AT18</f>
        <v>5.8823529411764705E-2</v>
      </c>
      <c r="AU25" s="13">
        <f>AU24/AU18</f>
        <v>5.8823529411764705E-2</v>
      </c>
      <c r="AV25" s="13">
        <f t="shared" ref="AV25:AX25" si="27">AV24/AV18</f>
        <v>0.125</v>
      </c>
      <c r="AW25" s="13">
        <f t="shared" si="27"/>
        <v>0.11764705882352941</v>
      </c>
      <c r="AX25" s="13">
        <f t="shared" si="27"/>
        <v>0.1111111111111111</v>
      </c>
    </row>
    <row r="26" spans="1:50">
      <c r="A26" s="6" t="s">
        <v>52</v>
      </c>
      <c r="B26" s="7" t="s">
        <v>44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</row>
    <row r="27" spans="1:50">
      <c r="A27" s="6" t="s">
        <v>53</v>
      </c>
      <c r="B27" s="7" t="s">
        <v>28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</row>
    <row r="29" spans="1:50">
      <c r="A29" s="8" t="s">
        <v>61</v>
      </c>
      <c r="B29" s="9" t="s">
        <v>55</v>
      </c>
      <c r="C29" s="210">
        <v>0</v>
      </c>
      <c r="D29" s="210">
        <v>0</v>
      </c>
      <c r="E29" s="210">
        <v>0</v>
      </c>
      <c r="F29" s="210">
        <v>0</v>
      </c>
      <c r="G29" s="210">
        <v>0</v>
      </c>
      <c r="H29" s="210">
        <v>0</v>
      </c>
      <c r="I29" s="210">
        <v>0</v>
      </c>
      <c r="J29" s="210">
        <v>0</v>
      </c>
      <c r="K29" s="210">
        <v>0</v>
      </c>
      <c r="L29" s="210">
        <v>0</v>
      </c>
      <c r="M29" s="210">
        <v>0</v>
      </c>
      <c r="N29" s="210">
        <v>0</v>
      </c>
      <c r="O29" s="210">
        <v>0</v>
      </c>
      <c r="P29" s="210">
        <v>0</v>
      </c>
      <c r="Q29" s="210">
        <v>0</v>
      </c>
      <c r="R29" s="210">
        <v>0</v>
      </c>
      <c r="S29" s="210">
        <v>0</v>
      </c>
      <c r="T29" s="210">
        <v>0</v>
      </c>
      <c r="U29" s="210">
        <v>0</v>
      </c>
      <c r="V29" s="210">
        <v>0</v>
      </c>
      <c r="W29" s="210">
        <v>0</v>
      </c>
      <c r="X29" s="210">
        <v>0</v>
      </c>
      <c r="Y29" s="210">
        <v>0</v>
      </c>
      <c r="Z29" s="210">
        <v>0</v>
      </c>
      <c r="AA29" s="210">
        <v>0</v>
      </c>
      <c r="AB29" s="210">
        <v>0</v>
      </c>
      <c r="AC29" s="210">
        <v>0</v>
      </c>
      <c r="AD29" s="210">
        <v>0</v>
      </c>
      <c r="AE29" s="210">
        <v>0</v>
      </c>
      <c r="AF29" s="210">
        <v>0</v>
      </c>
      <c r="AG29" s="14">
        <v>2.5000000000000001E-2</v>
      </c>
      <c r="AH29" s="14">
        <v>0.16</v>
      </c>
      <c r="AI29" s="14">
        <v>2.1999999999999999E-2</v>
      </c>
      <c r="AJ29" s="14">
        <v>4.1000000000000002E-2</v>
      </c>
      <c r="AK29" s="17">
        <v>7.0000000000000007E-2</v>
      </c>
      <c r="AL29" s="17">
        <v>2.4E-2</v>
      </c>
      <c r="AM29" s="17">
        <v>0.05</v>
      </c>
      <c r="AN29" s="17">
        <v>5.8999999999999997E-2</v>
      </c>
      <c r="AO29" s="17">
        <v>3.3000000000000002E-2</v>
      </c>
      <c r="AP29" s="17">
        <v>2.1999999999999999E-2</v>
      </c>
      <c r="AQ29" s="17">
        <v>7.1999999999999995E-2</v>
      </c>
      <c r="AR29" s="17">
        <v>3.4000000000000002E-2</v>
      </c>
      <c r="AS29" s="17">
        <v>5.3999999999999999E-2</v>
      </c>
      <c r="AT29" s="17">
        <v>9.4E-2</v>
      </c>
      <c r="AU29" s="17">
        <v>1.7999999999999999E-2</v>
      </c>
      <c r="AV29" s="17">
        <v>5.8000000000000003E-2</v>
      </c>
      <c r="AW29" s="17">
        <v>1.4E-2</v>
      </c>
      <c r="AX29" s="17">
        <v>0</v>
      </c>
    </row>
    <row r="30" spans="1:50">
      <c r="A30" s="8" t="s">
        <v>62</v>
      </c>
      <c r="B30" s="9" t="s">
        <v>63</v>
      </c>
      <c r="C30" s="210">
        <v>0</v>
      </c>
      <c r="D30" s="210">
        <v>0</v>
      </c>
      <c r="E30" s="210">
        <v>0</v>
      </c>
      <c r="F30" s="210">
        <v>0</v>
      </c>
      <c r="G30" s="210">
        <v>0</v>
      </c>
      <c r="H30" s="210">
        <v>0</v>
      </c>
      <c r="I30" s="210">
        <v>0</v>
      </c>
      <c r="J30" s="210">
        <v>0</v>
      </c>
      <c r="K30" s="210">
        <v>0</v>
      </c>
      <c r="L30" s="210">
        <v>0</v>
      </c>
      <c r="M30" s="210">
        <v>0</v>
      </c>
      <c r="N30" s="210">
        <v>0</v>
      </c>
      <c r="O30" s="210">
        <v>0</v>
      </c>
      <c r="P30" s="210">
        <v>0</v>
      </c>
      <c r="Q30" s="210">
        <v>0</v>
      </c>
      <c r="R30" s="210">
        <v>0</v>
      </c>
      <c r="S30" s="210">
        <v>0</v>
      </c>
      <c r="T30" s="210">
        <v>0</v>
      </c>
      <c r="U30" s="210">
        <v>0</v>
      </c>
      <c r="V30" s="210">
        <v>0</v>
      </c>
      <c r="W30" s="210">
        <v>0</v>
      </c>
      <c r="X30" s="210">
        <v>0</v>
      </c>
      <c r="Y30" s="210">
        <v>0</v>
      </c>
      <c r="Z30" s="210">
        <v>0</v>
      </c>
      <c r="AA30" s="210">
        <v>0</v>
      </c>
      <c r="AB30" s="210">
        <v>0</v>
      </c>
      <c r="AC30" s="210">
        <v>0</v>
      </c>
      <c r="AD30" s="210">
        <v>0</v>
      </c>
      <c r="AE30" s="210">
        <v>0</v>
      </c>
      <c r="AF30" s="210">
        <v>0</v>
      </c>
      <c r="AG30" s="14">
        <v>25</v>
      </c>
      <c r="AH30" s="14">
        <v>160</v>
      </c>
      <c r="AI30" s="14">
        <v>22</v>
      </c>
      <c r="AJ30" s="14">
        <v>41</v>
      </c>
      <c r="AK30" s="20">
        <v>70</v>
      </c>
      <c r="AL30" s="20">
        <v>24</v>
      </c>
      <c r="AM30" s="20">
        <v>50</v>
      </c>
      <c r="AN30" s="20">
        <v>59</v>
      </c>
      <c r="AO30" s="20">
        <v>33</v>
      </c>
      <c r="AP30" s="20">
        <v>22</v>
      </c>
      <c r="AQ30" s="20">
        <v>72</v>
      </c>
      <c r="AR30" s="20">
        <v>34</v>
      </c>
      <c r="AS30" s="20">
        <v>54</v>
      </c>
      <c r="AT30" s="20">
        <v>94</v>
      </c>
      <c r="AU30" s="20">
        <v>18</v>
      </c>
      <c r="AV30" s="20">
        <v>58</v>
      </c>
      <c r="AW30" s="20">
        <v>14</v>
      </c>
      <c r="AX30" s="20">
        <v>0</v>
      </c>
    </row>
    <row r="31" spans="1:50">
      <c r="A31" s="10" t="s">
        <v>56</v>
      </c>
      <c r="B31" s="9" t="s">
        <v>28</v>
      </c>
      <c r="C31" s="210">
        <v>0</v>
      </c>
      <c r="D31" s="210">
        <v>0</v>
      </c>
      <c r="E31" s="210">
        <v>0</v>
      </c>
      <c r="F31" s="210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0</v>
      </c>
      <c r="L31" s="210">
        <v>0</v>
      </c>
      <c r="M31" s="210">
        <v>0</v>
      </c>
      <c r="N31" s="210">
        <v>0</v>
      </c>
      <c r="O31" s="210">
        <v>0</v>
      </c>
      <c r="P31" s="210">
        <v>0</v>
      </c>
      <c r="Q31" s="210">
        <v>0</v>
      </c>
      <c r="R31" s="210">
        <v>0</v>
      </c>
      <c r="S31" s="210">
        <v>0</v>
      </c>
      <c r="T31" s="210">
        <v>0</v>
      </c>
      <c r="U31" s="210">
        <v>0</v>
      </c>
      <c r="V31" s="210">
        <v>0</v>
      </c>
      <c r="W31" s="210">
        <v>0</v>
      </c>
      <c r="X31" s="210">
        <v>0</v>
      </c>
      <c r="Y31" s="210">
        <v>0</v>
      </c>
      <c r="Z31" s="210">
        <v>0</v>
      </c>
      <c r="AA31" s="210">
        <v>0</v>
      </c>
      <c r="AB31" s="210">
        <v>0</v>
      </c>
      <c r="AC31" s="210">
        <v>0</v>
      </c>
      <c r="AD31" s="210">
        <v>0</v>
      </c>
      <c r="AE31" s="210">
        <v>0</v>
      </c>
      <c r="AF31" s="210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</row>
    <row r="33" spans="1:47">
      <c r="A33" t="s">
        <v>64</v>
      </c>
    </row>
    <row r="34" spans="1:47">
      <c r="AG34" s="231" t="s">
        <v>65</v>
      </c>
    </row>
    <row r="36" spans="1:47">
      <c r="AM36"/>
      <c r="AN36"/>
      <c r="AO36"/>
      <c r="AP36"/>
      <c r="AQ36"/>
      <c r="AR36"/>
      <c r="AS36"/>
      <c r="AT36"/>
      <c r="AU36"/>
    </row>
    <row r="37" spans="1:47">
      <c r="AM37"/>
      <c r="AN37"/>
      <c r="AO37"/>
      <c r="AP37"/>
      <c r="AQ37"/>
      <c r="AR37"/>
      <c r="AS37"/>
      <c r="AT37"/>
      <c r="AU37"/>
    </row>
    <row r="38" spans="1:47">
      <c r="AM38"/>
      <c r="AN38"/>
      <c r="AO38"/>
      <c r="AP38"/>
      <c r="AQ38"/>
      <c r="AR38"/>
      <c r="AS38"/>
      <c r="AT38"/>
      <c r="AU38"/>
    </row>
    <row r="39" spans="1:47">
      <c r="AM39"/>
      <c r="AN39"/>
      <c r="AO39"/>
      <c r="AP39"/>
      <c r="AQ39"/>
      <c r="AR39"/>
      <c r="AS39"/>
      <c r="AT39"/>
      <c r="AU39"/>
    </row>
    <row r="40" spans="1:47">
      <c r="AM40"/>
      <c r="AN40"/>
      <c r="AO40"/>
      <c r="AP40"/>
      <c r="AQ40"/>
      <c r="AR40"/>
      <c r="AS40"/>
      <c r="AT40"/>
      <c r="AU40"/>
    </row>
    <row r="41" spans="1:47">
      <c r="AM41"/>
      <c r="AN41"/>
      <c r="AO41"/>
      <c r="AP41"/>
      <c r="AQ41"/>
      <c r="AR41"/>
      <c r="AS41"/>
      <c r="AT41"/>
      <c r="AU41"/>
    </row>
    <row r="42" spans="1:47">
      <c r="AM42"/>
      <c r="AN42"/>
      <c r="AO42"/>
      <c r="AP42"/>
      <c r="AQ42"/>
      <c r="AR42"/>
      <c r="AS42"/>
      <c r="AT42"/>
      <c r="AU42"/>
    </row>
    <row r="43" spans="1:47">
      <c r="AM43"/>
      <c r="AN43"/>
      <c r="AO43"/>
      <c r="AP43"/>
      <c r="AQ43"/>
      <c r="AR43"/>
      <c r="AS43"/>
      <c r="AT43"/>
      <c r="AU43"/>
    </row>
    <row r="44" spans="1:47">
      <c r="AM44"/>
      <c r="AN44"/>
      <c r="AO44"/>
      <c r="AP44"/>
      <c r="AQ44"/>
      <c r="AR44"/>
      <c r="AS44"/>
      <c r="AT44"/>
      <c r="AU44"/>
    </row>
    <row r="45" spans="1:47">
      <c r="AM45"/>
      <c r="AN45"/>
      <c r="AO45"/>
      <c r="AP45"/>
      <c r="AQ45"/>
      <c r="AR45"/>
      <c r="AS45"/>
      <c r="AT45"/>
      <c r="AU45"/>
    </row>
    <row r="46" spans="1:47">
      <c r="AM46"/>
      <c r="AN46"/>
      <c r="AO46"/>
      <c r="AP46"/>
      <c r="AQ46"/>
      <c r="AR46"/>
      <c r="AS46"/>
      <c r="AT46"/>
      <c r="AU46"/>
    </row>
    <row r="47" spans="1:47">
      <c r="AM47"/>
      <c r="AN47"/>
      <c r="AO47"/>
      <c r="AP47"/>
      <c r="AQ47"/>
      <c r="AR47"/>
      <c r="AS47"/>
      <c r="AT47"/>
      <c r="AU47"/>
    </row>
    <row r="48" spans="1:47">
      <c r="AM48"/>
      <c r="AN48"/>
      <c r="AO48"/>
      <c r="AP48"/>
      <c r="AQ48"/>
      <c r="AR48"/>
      <c r="AS48"/>
      <c r="AT48"/>
      <c r="AU48"/>
    </row>
  </sheetData>
  <phoneticPr fontId="2" type="noConversion"/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D9C9E-41F4-43D9-BBA5-C92B1BF15163}">
  <dimension ref="A1:Q89"/>
  <sheetViews>
    <sheetView workbookViewId="0">
      <pane ySplit="1" topLeftCell="A40" activePane="bottomLeft" state="frozen"/>
      <selection activeCell="D85" sqref="D85"/>
      <selection pane="bottomLeft" activeCell="D85" sqref="D85"/>
    </sheetView>
  </sheetViews>
  <sheetFormatPr baseColWidth="10" defaultColWidth="8.83203125" defaultRowHeight="15"/>
  <cols>
    <col min="1" max="1" width="9.6640625" style="2" customWidth="1"/>
    <col min="2" max="2" width="11.5" style="2" customWidth="1"/>
    <col min="3" max="3" width="32.1640625" style="2" customWidth="1"/>
    <col min="4" max="4" width="22.6640625" style="2" customWidth="1"/>
    <col min="5" max="5" width="22.83203125" style="2" customWidth="1"/>
    <col min="6" max="6" width="12.5" style="30" customWidth="1"/>
    <col min="7" max="7" width="14.33203125" style="30" customWidth="1"/>
    <col min="8" max="8" width="22.33203125" style="30" customWidth="1"/>
    <col min="9" max="9" width="10.33203125" style="73" customWidth="1"/>
    <col min="10" max="10" width="13.5" style="152" customWidth="1"/>
    <col min="11" max="11" width="11.5" style="11" customWidth="1"/>
    <col min="12" max="13" width="10" style="11" customWidth="1"/>
    <col min="16" max="16" width="8.83203125" style="18"/>
  </cols>
  <sheetData>
    <row r="1" spans="1:17" s="29" customFormat="1">
      <c r="A1" s="31" t="s">
        <v>66</v>
      </c>
      <c r="B1" s="2"/>
      <c r="C1" s="2"/>
      <c r="D1" s="2"/>
      <c r="E1" s="2"/>
      <c r="F1" s="30"/>
      <c r="G1" s="30"/>
      <c r="H1" s="30"/>
      <c r="I1" s="30"/>
      <c r="J1" s="156"/>
      <c r="K1" s="18"/>
      <c r="L1" s="11"/>
      <c r="M1" s="11"/>
      <c r="N1" s="11"/>
      <c r="O1" s="44"/>
      <c r="Q1" s="79"/>
    </row>
    <row r="2" spans="1:17" ht="80">
      <c r="A2" s="36" t="s">
        <v>67</v>
      </c>
      <c r="B2" s="36" t="s">
        <v>68</v>
      </c>
      <c r="C2" s="163" t="s">
        <v>69</v>
      </c>
      <c r="D2" s="163" t="s">
        <v>70</v>
      </c>
      <c r="E2" s="163" t="s">
        <v>71</v>
      </c>
      <c r="F2" s="163" t="s">
        <v>72</v>
      </c>
      <c r="G2" s="37" t="s">
        <v>73</v>
      </c>
      <c r="H2" s="37" t="s">
        <v>74</v>
      </c>
      <c r="I2" s="37" t="s">
        <v>75</v>
      </c>
      <c r="J2" s="157" t="s">
        <v>76</v>
      </c>
      <c r="K2" s="38" t="s">
        <v>77</v>
      </c>
      <c r="L2" s="39" t="s">
        <v>78</v>
      </c>
      <c r="M2" s="37" t="s">
        <v>79</v>
      </c>
      <c r="N2" s="37" t="s">
        <v>75</v>
      </c>
      <c r="O2" s="43" t="s">
        <v>76</v>
      </c>
      <c r="P2"/>
      <c r="Q2" s="46" t="s">
        <v>80</v>
      </c>
    </row>
    <row r="3" spans="1:17" ht="16">
      <c r="A3" s="29">
        <v>2</v>
      </c>
      <c r="B3" s="115">
        <v>44729</v>
      </c>
      <c r="C3" s="164" t="s">
        <v>81</v>
      </c>
      <c r="D3" s="130" t="s">
        <v>82</v>
      </c>
      <c r="E3" s="130" t="s">
        <v>83</v>
      </c>
      <c r="F3" s="130" t="s">
        <v>84</v>
      </c>
      <c r="G3" s="135">
        <f>6.79</f>
        <v>6.79</v>
      </c>
      <c r="H3" s="30">
        <f t="shared" ref="H3:H9" si="0">G3*1.60934</f>
        <v>10.927418599999999</v>
      </c>
      <c r="I3" s="41">
        <v>3.5490000000000001E-2</v>
      </c>
      <c r="J3" s="156">
        <f>H3*I3*A3</f>
        <v>0.77562817222799996</v>
      </c>
      <c r="K3" s="83"/>
      <c r="L3" s="84"/>
      <c r="M3" s="116"/>
      <c r="N3" s="116"/>
      <c r="O3" s="117"/>
      <c r="P3"/>
      <c r="Q3" s="76">
        <f t="shared" ref="Q3:Q9" si="1">J3+O3</f>
        <v>0.77562817222799996</v>
      </c>
    </row>
    <row r="4" spans="1:17" s="113" customFormat="1" ht="32">
      <c r="A4" s="151">
        <v>2</v>
      </c>
      <c r="B4" s="146">
        <v>37424</v>
      </c>
      <c r="C4" s="165" t="s">
        <v>81</v>
      </c>
      <c r="D4" s="159" t="s">
        <v>82</v>
      </c>
      <c r="E4" s="159" t="s">
        <v>85</v>
      </c>
      <c r="F4" s="159" t="s">
        <v>83</v>
      </c>
      <c r="G4" s="147">
        <f>6.79</f>
        <v>6.79</v>
      </c>
      <c r="H4" s="133">
        <f t="shared" si="0"/>
        <v>10.927418599999999</v>
      </c>
      <c r="I4" s="148">
        <v>3.5490000000000001E-2</v>
      </c>
      <c r="J4" s="156">
        <f t="shared" ref="J4:J25" si="2">H4*I4*A4</f>
        <v>0.77562817222799996</v>
      </c>
      <c r="K4" s="145"/>
      <c r="L4" s="145"/>
      <c r="M4" s="132"/>
      <c r="N4" s="132"/>
      <c r="O4" s="150"/>
      <c r="Q4" s="149">
        <f t="shared" si="1"/>
        <v>0.77562817222799996</v>
      </c>
    </row>
    <row r="5" spans="1:17" ht="16">
      <c r="A5" s="29">
        <v>1</v>
      </c>
      <c r="B5" s="115">
        <v>44729</v>
      </c>
      <c r="C5" s="164" t="s">
        <v>86</v>
      </c>
      <c r="D5" s="130" t="s">
        <v>82</v>
      </c>
      <c r="E5" s="130" t="s">
        <v>87</v>
      </c>
      <c r="F5" s="130" t="s">
        <v>84</v>
      </c>
      <c r="G5" s="135">
        <f>5.56</f>
        <v>5.56</v>
      </c>
      <c r="H5" s="30">
        <f t="shared" si="0"/>
        <v>8.9479303999999988</v>
      </c>
      <c r="I5" s="41">
        <v>3.5490000000000001E-2</v>
      </c>
      <c r="J5" s="156">
        <f t="shared" si="2"/>
        <v>0.31756204989599995</v>
      </c>
      <c r="K5" s="83"/>
      <c r="L5" s="84"/>
      <c r="M5" s="116"/>
      <c r="N5" s="116"/>
      <c r="O5" s="117"/>
      <c r="P5"/>
      <c r="Q5" s="76">
        <f t="shared" si="1"/>
        <v>0.31756204989599995</v>
      </c>
    </row>
    <row r="6" spans="1:17" ht="16">
      <c r="A6" s="29">
        <v>1</v>
      </c>
      <c r="B6" s="115">
        <v>44729</v>
      </c>
      <c r="C6" s="164" t="s">
        <v>86</v>
      </c>
      <c r="D6" s="130" t="s">
        <v>82</v>
      </c>
      <c r="E6" s="130" t="s">
        <v>85</v>
      </c>
      <c r="F6" s="130" t="s">
        <v>87</v>
      </c>
      <c r="G6" s="135">
        <v>5.56</v>
      </c>
      <c r="H6" s="30">
        <f t="shared" si="0"/>
        <v>8.9479303999999988</v>
      </c>
      <c r="I6" s="41">
        <v>3.5490000000000001E-2</v>
      </c>
      <c r="J6" s="156">
        <f t="shared" si="2"/>
        <v>0.31756204989599995</v>
      </c>
      <c r="K6" s="83"/>
      <c r="L6" s="84"/>
      <c r="M6" s="116"/>
      <c r="N6" s="116"/>
      <c r="O6" s="117"/>
      <c r="P6"/>
      <c r="Q6" s="76">
        <f t="shared" si="1"/>
        <v>0.31756204989599995</v>
      </c>
    </row>
    <row r="7" spans="1:17" ht="16">
      <c r="A7" s="29">
        <v>1</v>
      </c>
      <c r="B7" s="115">
        <v>44729</v>
      </c>
      <c r="C7" s="164" t="s">
        <v>88</v>
      </c>
      <c r="D7" s="130" t="s">
        <v>89</v>
      </c>
      <c r="E7" s="130" t="s">
        <v>90</v>
      </c>
      <c r="F7" s="130" t="s">
        <v>84</v>
      </c>
      <c r="G7" s="135">
        <v>3.46</v>
      </c>
      <c r="H7" s="30">
        <f t="shared" si="0"/>
        <v>5.5683163999999996</v>
      </c>
      <c r="I7" s="41">
        <v>3.5490000000000001E-2</v>
      </c>
      <c r="J7" s="156">
        <f t="shared" si="2"/>
        <v>0.19761954903599999</v>
      </c>
      <c r="K7" s="83"/>
      <c r="L7" s="84"/>
      <c r="M7" s="116"/>
      <c r="N7" s="116"/>
      <c r="O7" s="117"/>
      <c r="P7"/>
      <c r="Q7" s="76">
        <f t="shared" si="1"/>
        <v>0.19761954903599999</v>
      </c>
    </row>
    <row r="8" spans="1:17" s="113" customFormat="1" ht="16">
      <c r="A8" s="151">
        <v>1</v>
      </c>
      <c r="B8" s="146">
        <v>44729</v>
      </c>
      <c r="C8" s="165" t="s">
        <v>88</v>
      </c>
      <c r="D8" s="159" t="s">
        <v>91</v>
      </c>
      <c r="E8" s="159" t="s">
        <v>92</v>
      </c>
      <c r="F8" s="159" t="s">
        <v>90</v>
      </c>
      <c r="G8" s="147">
        <v>3.46</v>
      </c>
      <c r="H8" s="133">
        <f t="shared" si="0"/>
        <v>5.5683163999999996</v>
      </c>
      <c r="I8" s="148">
        <v>3.5490000000000001E-2</v>
      </c>
      <c r="J8" s="156">
        <f t="shared" si="2"/>
        <v>0.19761954903599999</v>
      </c>
      <c r="K8" s="145"/>
      <c r="L8" s="145"/>
      <c r="M8" s="132"/>
      <c r="N8" s="132"/>
      <c r="O8" s="150"/>
      <c r="Q8" s="149">
        <f t="shared" si="1"/>
        <v>0.19761954903599999</v>
      </c>
    </row>
    <row r="9" spans="1:17" ht="16">
      <c r="A9" s="29">
        <v>1</v>
      </c>
      <c r="B9" s="115">
        <v>44739</v>
      </c>
      <c r="C9" s="164" t="s">
        <v>93</v>
      </c>
      <c r="D9" s="130" t="s">
        <v>94</v>
      </c>
      <c r="E9" s="130" t="s">
        <v>95</v>
      </c>
      <c r="F9" s="130" t="s">
        <v>96</v>
      </c>
      <c r="G9" s="135">
        <v>26</v>
      </c>
      <c r="H9" s="30">
        <f t="shared" si="0"/>
        <v>41.842840000000002</v>
      </c>
      <c r="I9" s="41">
        <v>0.27810000000000001</v>
      </c>
      <c r="J9" s="156">
        <f t="shared" si="2"/>
        <v>11.636493804000001</v>
      </c>
      <c r="K9" s="83"/>
      <c r="L9" s="84"/>
      <c r="M9" s="116"/>
      <c r="N9" s="116"/>
      <c r="O9" s="117"/>
      <c r="P9"/>
      <c r="Q9" s="149">
        <f t="shared" si="1"/>
        <v>11.636493804000001</v>
      </c>
    </row>
    <row r="10" spans="1:17">
      <c r="A10" s="2">
        <v>3</v>
      </c>
      <c r="B10" s="28">
        <v>44851</v>
      </c>
      <c r="C10" s="166"/>
      <c r="D10" t="s">
        <v>91</v>
      </c>
      <c r="E10" t="s">
        <v>97</v>
      </c>
      <c r="F10" t="s">
        <v>98</v>
      </c>
      <c r="G10" s="73">
        <f t="shared" ref="G10:G12" si="3">76*3</f>
        <v>228</v>
      </c>
      <c r="H10" s="30">
        <f>G10*1.60934</f>
        <v>366.92952000000002</v>
      </c>
      <c r="I10" s="41">
        <v>3.5490000000000001E-2</v>
      </c>
      <c r="J10" s="156">
        <f t="shared" si="2"/>
        <v>39.066985994400007</v>
      </c>
      <c r="K10" s="18" t="s">
        <v>99</v>
      </c>
      <c r="L10" s="11">
        <f>2.2*A10</f>
        <v>6.6000000000000005</v>
      </c>
      <c r="M10" s="30">
        <f>L10*1.60934</f>
        <v>10.621644000000002</v>
      </c>
      <c r="N10" s="182">
        <v>0.14876</v>
      </c>
      <c r="O10" s="76">
        <f>M10*N10</f>
        <v>1.5800757614400003</v>
      </c>
      <c r="P10"/>
      <c r="Q10" s="76">
        <f>J10+O10</f>
        <v>40.647061755840006</v>
      </c>
    </row>
    <row r="11" spans="1:17">
      <c r="A11" s="2">
        <v>3</v>
      </c>
      <c r="B11" s="28">
        <v>44882</v>
      </c>
      <c r="C11" s="166"/>
      <c r="D11" t="s">
        <v>91</v>
      </c>
      <c r="E11" t="s">
        <v>100</v>
      </c>
      <c r="F11" t="s">
        <v>101</v>
      </c>
      <c r="G11" s="73">
        <f t="shared" si="3"/>
        <v>228</v>
      </c>
      <c r="H11" s="30">
        <f t="shared" ref="H11:H25" si="4">G11*1.60934</f>
        <v>366.92952000000002</v>
      </c>
      <c r="I11" s="41">
        <v>3.5490000000000001E-2</v>
      </c>
      <c r="J11" s="156">
        <f t="shared" si="2"/>
        <v>39.066985994400007</v>
      </c>
      <c r="K11" s="18" t="s">
        <v>99</v>
      </c>
      <c r="L11" s="11">
        <f>2.2*A11</f>
        <v>6.6000000000000005</v>
      </c>
      <c r="M11" s="30">
        <f t="shared" ref="M11" si="5">L11*1.60934</f>
        <v>10.621644000000002</v>
      </c>
      <c r="N11" s="182">
        <v>0.14876</v>
      </c>
      <c r="O11" s="76">
        <f t="shared" ref="O11" si="6">M11*N11</f>
        <v>1.5800757614400003</v>
      </c>
      <c r="P11"/>
      <c r="Q11" s="76">
        <f t="shared" ref="Q11:Q25" si="7">J11+O11</f>
        <v>40.647061755840006</v>
      </c>
    </row>
    <row r="12" spans="1:17">
      <c r="A12" s="2">
        <v>3</v>
      </c>
      <c r="B12" s="28">
        <v>44882</v>
      </c>
      <c r="C12" s="166"/>
      <c r="D12" t="s">
        <v>91</v>
      </c>
      <c r="E12" t="s">
        <v>97</v>
      </c>
      <c r="F12" t="s">
        <v>98</v>
      </c>
      <c r="G12" s="73">
        <f t="shared" si="3"/>
        <v>228</v>
      </c>
      <c r="H12" s="30">
        <f t="shared" ref="H12" si="8">G12*1.60934</f>
        <v>366.92952000000002</v>
      </c>
      <c r="I12" s="41">
        <v>3.5490000000000001E-2</v>
      </c>
      <c r="J12" s="156">
        <f t="shared" si="2"/>
        <v>39.066985994400007</v>
      </c>
      <c r="K12" s="18" t="s">
        <v>99</v>
      </c>
      <c r="L12" s="11">
        <f>2.2*A12</f>
        <v>6.6000000000000005</v>
      </c>
      <c r="M12" s="30">
        <f t="shared" ref="M12" si="9">L12*1.60934</f>
        <v>10.621644000000002</v>
      </c>
      <c r="N12" s="182">
        <v>0.14876</v>
      </c>
      <c r="O12" s="76">
        <f t="shared" ref="O12" si="10">M12*N12</f>
        <v>1.5800757614400003</v>
      </c>
      <c r="P12"/>
      <c r="Q12" s="76">
        <f t="shared" ref="Q12" si="11">J12+O12</f>
        <v>40.647061755840006</v>
      </c>
    </row>
    <row r="13" spans="1:17">
      <c r="A13" s="2">
        <v>1</v>
      </c>
      <c r="B13" s="28">
        <v>44882</v>
      </c>
      <c r="C13" s="166" t="s">
        <v>102</v>
      </c>
      <c r="D13" t="s">
        <v>91</v>
      </c>
      <c r="E13" t="s">
        <v>103</v>
      </c>
      <c r="F13" t="s">
        <v>104</v>
      </c>
      <c r="G13" s="73">
        <v>17.28</v>
      </c>
      <c r="H13" s="30">
        <f t="shared" si="4"/>
        <v>27.809395200000001</v>
      </c>
      <c r="I13" s="41">
        <v>3.5490000000000001E-2</v>
      </c>
      <c r="J13" s="156">
        <f t="shared" si="2"/>
        <v>0.98695543564800003</v>
      </c>
      <c r="K13" s="18"/>
      <c r="M13" s="30"/>
      <c r="N13" s="11"/>
      <c r="O13" s="76"/>
      <c r="P13" t="s">
        <v>105</v>
      </c>
      <c r="Q13" s="76">
        <f t="shared" si="7"/>
        <v>0.98695543564800003</v>
      </c>
    </row>
    <row r="14" spans="1:17">
      <c r="A14" s="2">
        <v>1</v>
      </c>
      <c r="B14" s="28">
        <v>44882</v>
      </c>
      <c r="C14" s="166" t="s">
        <v>102</v>
      </c>
      <c r="D14" t="s">
        <v>91</v>
      </c>
      <c r="E14" s="167" t="s">
        <v>104</v>
      </c>
      <c r="F14" s="167" t="s">
        <v>103</v>
      </c>
      <c r="G14" s="73">
        <v>17.3</v>
      </c>
      <c r="H14" s="30">
        <f t="shared" si="4"/>
        <v>27.841582000000002</v>
      </c>
      <c r="I14" s="41">
        <v>3.5490000000000001E-2</v>
      </c>
      <c r="J14" s="156">
        <f t="shared" si="2"/>
        <v>0.98809774518000015</v>
      </c>
      <c r="K14" s="18"/>
      <c r="M14" s="30"/>
      <c r="N14" s="11"/>
      <c r="O14" s="76"/>
      <c r="P14"/>
      <c r="Q14" s="76">
        <f t="shared" si="7"/>
        <v>0.98809774518000015</v>
      </c>
    </row>
    <row r="15" spans="1:17">
      <c r="A15" s="2">
        <v>1</v>
      </c>
      <c r="B15" s="28">
        <v>44882</v>
      </c>
      <c r="C15" s="166" t="s">
        <v>106</v>
      </c>
      <c r="D15" t="s">
        <v>91</v>
      </c>
      <c r="E15" t="s">
        <v>107</v>
      </c>
      <c r="F15" t="s">
        <v>108</v>
      </c>
      <c r="G15" s="73">
        <v>16</v>
      </c>
      <c r="H15" s="30">
        <f t="shared" si="4"/>
        <v>25.74944</v>
      </c>
      <c r="I15" s="41">
        <v>0.27810000000000001</v>
      </c>
      <c r="J15" s="156">
        <f t="shared" si="2"/>
        <v>7.1609192640000003</v>
      </c>
      <c r="K15" s="18"/>
      <c r="N15" s="11"/>
      <c r="O15" s="76"/>
      <c r="P15"/>
      <c r="Q15" s="76">
        <f t="shared" si="7"/>
        <v>7.1609192640000003</v>
      </c>
    </row>
    <row r="16" spans="1:17">
      <c r="A16" s="2">
        <v>1</v>
      </c>
      <c r="B16" s="28">
        <v>44882</v>
      </c>
      <c r="C16" s="166" t="s">
        <v>106</v>
      </c>
      <c r="D16" t="s">
        <v>91</v>
      </c>
      <c r="E16" t="s">
        <v>109</v>
      </c>
      <c r="F16" t="s">
        <v>110</v>
      </c>
      <c r="G16" s="73">
        <v>14.92</v>
      </c>
      <c r="H16" s="30">
        <f t="shared" si="4"/>
        <v>24.011352800000001</v>
      </c>
      <c r="I16" s="41">
        <v>3.5490000000000001E-2</v>
      </c>
      <c r="J16" s="156">
        <f t="shared" si="2"/>
        <v>0.85216291087200002</v>
      </c>
      <c r="K16" s="18"/>
      <c r="N16" s="11"/>
      <c r="O16" s="76"/>
      <c r="P16"/>
      <c r="Q16" s="76">
        <f t="shared" si="7"/>
        <v>0.85216291087200002</v>
      </c>
    </row>
    <row r="17" spans="1:17">
      <c r="A17" s="2">
        <v>1</v>
      </c>
      <c r="B17" s="28">
        <v>44907</v>
      </c>
      <c r="C17" s="166" t="s">
        <v>81</v>
      </c>
      <c r="D17" t="s">
        <v>91</v>
      </c>
      <c r="E17" t="s">
        <v>83</v>
      </c>
      <c r="F17" t="s">
        <v>111</v>
      </c>
      <c r="G17" s="73">
        <v>23.43</v>
      </c>
      <c r="H17" s="30">
        <f t="shared" si="4"/>
        <v>37.706836199999998</v>
      </c>
      <c r="I17" s="41">
        <v>3.5490000000000001E-2</v>
      </c>
      <c r="J17" s="156">
        <f t="shared" si="2"/>
        <v>1.3382156167379999</v>
      </c>
      <c r="K17" s="18"/>
      <c r="N17" s="11"/>
      <c r="O17" s="76"/>
      <c r="P17"/>
      <c r="Q17" s="76">
        <f t="shared" si="7"/>
        <v>1.3382156167379999</v>
      </c>
    </row>
    <row r="18" spans="1:17">
      <c r="A18" s="2">
        <v>1</v>
      </c>
      <c r="B18" s="28">
        <v>44907</v>
      </c>
      <c r="C18" s="166" t="s">
        <v>81</v>
      </c>
      <c r="D18" t="s">
        <v>91</v>
      </c>
      <c r="E18" t="s">
        <v>111</v>
      </c>
      <c r="F18" t="s">
        <v>83</v>
      </c>
      <c r="G18" s="73">
        <v>23.4</v>
      </c>
      <c r="H18" s="30">
        <f t="shared" si="4"/>
        <v>37.658555999999997</v>
      </c>
      <c r="I18" s="41">
        <v>3.5490000000000001E-2</v>
      </c>
      <c r="J18" s="156">
        <f t="shared" si="2"/>
        <v>1.33650215244</v>
      </c>
      <c r="K18" s="18"/>
      <c r="N18" s="11"/>
      <c r="O18" s="76"/>
      <c r="P18"/>
      <c r="Q18" s="76">
        <f t="shared" si="7"/>
        <v>1.33650215244</v>
      </c>
    </row>
    <row r="19" spans="1:17">
      <c r="A19" s="2">
        <v>1</v>
      </c>
      <c r="B19" s="28">
        <v>44907</v>
      </c>
      <c r="C19" s="166" t="s">
        <v>93</v>
      </c>
      <c r="D19" t="s">
        <v>94</v>
      </c>
      <c r="E19" t="s">
        <v>95</v>
      </c>
      <c r="F19" t="s">
        <v>111</v>
      </c>
      <c r="G19" s="73">
        <v>34</v>
      </c>
      <c r="H19" s="30">
        <f t="shared" si="4"/>
        <v>54.717559999999999</v>
      </c>
      <c r="I19" s="41">
        <v>2.7810000000000001E-2</v>
      </c>
      <c r="J19" s="156">
        <f t="shared" si="2"/>
        <v>1.5216953436</v>
      </c>
      <c r="K19" s="18"/>
      <c r="N19" s="11"/>
      <c r="O19" s="76"/>
      <c r="P19"/>
      <c r="Q19" s="76">
        <f t="shared" si="7"/>
        <v>1.5216953436</v>
      </c>
    </row>
    <row r="20" spans="1:17">
      <c r="A20" s="2">
        <v>1</v>
      </c>
      <c r="B20" s="28">
        <v>44904</v>
      </c>
      <c r="C20" s="166" t="s">
        <v>86</v>
      </c>
      <c r="D20" t="s">
        <v>91</v>
      </c>
      <c r="E20" t="s">
        <v>112</v>
      </c>
      <c r="F20" t="s">
        <v>85</v>
      </c>
      <c r="G20" s="73">
        <v>5.56</v>
      </c>
      <c r="H20" s="30">
        <f t="shared" si="4"/>
        <v>8.9479303999999988</v>
      </c>
      <c r="I20" s="41">
        <v>3.5490000000000001E-2</v>
      </c>
      <c r="J20" s="156">
        <f t="shared" si="2"/>
        <v>0.31756204989599995</v>
      </c>
      <c r="K20" s="18" t="s">
        <v>105</v>
      </c>
      <c r="N20" s="11"/>
      <c r="O20" s="76"/>
      <c r="P20"/>
      <c r="Q20" s="76">
        <f t="shared" si="7"/>
        <v>0.31756204989599995</v>
      </c>
    </row>
    <row r="21" spans="1:17">
      <c r="A21" s="2">
        <v>1</v>
      </c>
      <c r="B21" s="28">
        <v>44904</v>
      </c>
      <c r="C21" s="166" t="s">
        <v>88</v>
      </c>
      <c r="D21" t="s">
        <v>91</v>
      </c>
      <c r="E21" t="s">
        <v>90</v>
      </c>
      <c r="F21" t="s">
        <v>84</v>
      </c>
      <c r="G21" s="73">
        <v>3.46</v>
      </c>
      <c r="H21" s="30">
        <f t="shared" si="4"/>
        <v>5.5683163999999996</v>
      </c>
      <c r="I21" s="41">
        <v>3.5490000000000001E-2</v>
      </c>
      <c r="J21" s="156">
        <f t="shared" si="2"/>
        <v>0.19761954903599999</v>
      </c>
      <c r="K21" s="18"/>
      <c r="N21" s="11"/>
      <c r="O21" s="76"/>
      <c r="P21"/>
      <c r="Q21" s="76">
        <f t="shared" si="7"/>
        <v>0.19761954903599999</v>
      </c>
    </row>
    <row r="22" spans="1:17">
      <c r="A22" s="2">
        <v>2</v>
      </c>
      <c r="B22" s="28">
        <v>44904</v>
      </c>
      <c r="C22" s="166" t="s">
        <v>102</v>
      </c>
      <c r="D22" t="s">
        <v>113</v>
      </c>
      <c r="E22" t="s">
        <v>114</v>
      </c>
      <c r="F22" t="s">
        <v>84</v>
      </c>
      <c r="G22" s="73">
        <v>6.7</v>
      </c>
      <c r="H22" s="30">
        <f t="shared" si="4"/>
        <v>10.782578000000001</v>
      </c>
      <c r="I22" s="41">
        <v>3.5490000000000001E-2</v>
      </c>
      <c r="J22" s="156">
        <f t="shared" si="2"/>
        <v>0.76534738644000011</v>
      </c>
      <c r="K22" s="18" t="s">
        <v>105</v>
      </c>
      <c r="N22" s="11"/>
      <c r="O22" s="76"/>
      <c r="P22"/>
      <c r="Q22" s="76">
        <f t="shared" si="7"/>
        <v>0.76534738644000011</v>
      </c>
    </row>
    <row r="23" spans="1:17" ht="16">
      <c r="A23" s="2">
        <v>3</v>
      </c>
      <c r="B23" s="28">
        <v>44904</v>
      </c>
      <c r="C23" s="166" t="s">
        <v>81</v>
      </c>
      <c r="D23" s="130" t="s">
        <v>82</v>
      </c>
      <c r="E23" s="130" t="s">
        <v>83</v>
      </c>
      <c r="F23" s="130" t="s">
        <v>84</v>
      </c>
      <c r="G23" s="73">
        <v>6.79</v>
      </c>
      <c r="H23" s="30">
        <f t="shared" si="4"/>
        <v>10.927418599999999</v>
      </c>
      <c r="I23" s="41">
        <v>3.5490000000000001E-2</v>
      </c>
      <c r="J23" s="156">
        <f t="shared" si="2"/>
        <v>1.1634422583419999</v>
      </c>
      <c r="K23" s="18"/>
      <c r="N23" s="11"/>
      <c r="O23" s="76"/>
      <c r="P23"/>
      <c r="Q23" s="76">
        <f t="shared" si="7"/>
        <v>1.1634422583419999</v>
      </c>
    </row>
    <row r="24" spans="1:17">
      <c r="A24" s="2">
        <v>1</v>
      </c>
      <c r="B24" s="28" t="s">
        <v>115</v>
      </c>
      <c r="C24" s="166" t="s">
        <v>93</v>
      </c>
      <c r="D24" t="s">
        <v>116</v>
      </c>
      <c r="E24" t="s">
        <v>95</v>
      </c>
      <c r="F24" t="s">
        <v>117</v>
      </c>
      <c r="G24" s="73">
        <v>187.5</v>
      </c>
      <c r="H24" s="30">
        <f t="shared" si="4"/>
        <v>301.75124999999997</v>
      </c>
      <c r="I24" s="41">
        <v>2.7810000000000001E-2</v>
      </c>
      <c r="J24" s="156">
        <f t="shared" si="2"/>
        <v>8.3917022624999991</v>
      </c>
      <c r="K24" s="18"/>
      <c r="M24" s="30"/>
      <c r="N24" s="11"/>
      <c r="O24" s="42"/>
      <c r="P24"/>
      <c r="Q24" s="76">
        <f t="shared" si="7"/>
        <v>8.3917022624999991</v>
      </c>
    </row>
    <row r="25" spans="1:17">
      <c r="A25" s="2">
        <v>1</v>
      </c>
      <c r="B25" s="28" t="s">
        <v>118</v>
      </c>
      <c r="C25" s="166" t="s">
        <v>93</v>
      </c>
      <c r="D25" t="s">
        <v>116</v>
      </c>
      <c r="E25" t="s">
        <v>95</v>
      </c>
      <c r="F25" t="s">
        <v>119</v>
      </c>
      <c r="G25" s="73">
        <v>225</v>
      </c>
      <c r="H25" s="30">
        <f t="shared" si="4"/>
        <v>362.10149999999999</v>
      </c>
      <c r="I25" s="41">
        <v>2.7810000000000001E-2</v>
      </c>
      <c r="J25" s="156">
        <f t="shared" si="2"/>
        <v>10.070042715</v>
      </c>
      <c r="K25" s="18"/>
      <c r="M25" s="30"/>
      <c r="N25" s="11"/>
      <c r="O25" s="42"/>
      <c r="P25"/>
      <c r="Q25" s="76">
        <f t="shared" si="7"/>
        <v>10.070042715</v>
      </c>
    </row>
    <row r="26" spans="1:17" s="61" customFormat="1" ht="16" thickBot="1">
      <c r="A26" s="62" t="s">
        <v>105</v>
      </c>
      <c r="B26" s="62"/>
      <c r="C26" s="63"/>
      <c r="D26" s="63"/>
      <c r="E26" s="63"/>
      <c r="F26" s="168"/>
      <c r="G26" s="64"/>
      <c r="H26" s="64"/>
      <c r="I26" s="64"/>
      <c r="J26" s="262">
        <f>SUM(J3:J25)</f>
        <v>166.50933601921204</v>
      </c>
      <c r="K26" s="65"/>
      <c r="L26" s="66"/>
      <c r="M26" s="66"/>
      <c r="N26" s="66"/>
      <c r="O26" s="86">
        <f>SUM(O3:O25)</f>
        <v>4.7402272843200013</v>
      </c>
      <c r="P26" s="58"/>
      <c r="Q26" s="183">
        <f>SUM(Q3:Q25)</f>
        <v>171.24956330353206</v>
      </c>
    </row>
    <row r="27" spans="1:17" ht="16" thickTop="1">
      <c r="H27" s="42">
        <f>SUM(H3:H26)</f>
        <v>2129.0924464</v>
      </c>
      <c r="I27" s="30"/>
      <c r="J27" s="180"/>
      <c r="K27" s="18"/>
      <c r="M27" s="177">
        <f>SUM(M3:M26)</f>
        <v>31.864932000000003</v>
      </c>
      <c r="N27" s="11"/>
      <c r="O27" s="76"/>
      <c r="P27"/>
      <c r="Q27" s="80"/>
    </row>
    <row r="30" spans="1:17">
      <c r="A30" s="31" t="s">
        <v>120</v>
      </c>
      <c r="H30" s="18"/>
      <c r="I30" s="11"/>
      <c r="K30"/>
      <c r="L30"/>
      <c r="M30"/>
      <c r="P30"/>
    </row>
    <row r="31" spans="1:17" ht="32">
      <c r="A31" s="32" t="s">
        <v>121</v>
      </c>
      <c r="B31" s="32" t="s">
        <v>122</v>
      </c>
      <c r="C31" s="32" t="s">
        <v>123</v>
      </c>
      <c r="D31" s="32" t="s">
        <v>124</v>
      </c>
      <c r="E31" s="34" t="s">
        <v>125</v>
      </c>
      <c r="F31" s="33" t="s">
        <v>126</v>
      </c>
      <c r="G31" s="33" t="s">
        <v>127</v>
      </c>
      <c r="H31" s="33" t="s">
        <v>128</v>
      </c>
      <c r="I31" s="33" t="s">
        <v>129</v>
      </c>
      <c r="J31" s="158" t="s">
        <v>130</v>
      </c>
      <c r="K31" s="34" t="s">
        <v>75</v>
      </c>
      <c r="L31" s="81" t="s">
        <v>76</v>
      </c>
      <c r="M31"/>
      <c r="P31"/>
    </row>
    <row r="32" spans="1:17" ht="16">
      <c r="A32" s="2">
        <v>1</v>
      </c>
      <c r="B32" s="29" t="s">
        <v>131</v>
      </c>
      <c r="C32" s="29" t="s">
        <v>132</v>
      </c>
      <c r="D32" s="130" t="s">
        <v>133</v>
      </c>
      <c r="E32" s="132">
        <v>1.4</v>
      </c>
      <c r="F32" s="83" t="s">
        <v>134</v>
      </c>
      <c r="G32" s="83" t="s">
        <v>135</v>
      </c>
      <c r="H32" s="83" t="s">
        <v>136</v>
      </c>
      <c r="I32" s="83" t="s">
        <v>137</v>
      </c>
      <c r="J32" s="159">
        <v>148.4</v>
      </c>
      <c r="K32" s="87">
        <v>0.23580000000000001</v>
      </c>
      <c r="L32" s="55">
        <f>J32*K32*A32</f>
        <v>34.992720000000006</v>
      </c>
      <c r="M32"/>
      <c r="P32"/>
    </row>
    <row r="33" spans="1:16" ht="16">
      <c r="A33" s="2">
        <v>1</v>
      </c>
      <c r="B33" s="29" t="s">
        <v>138</v>
      </c>
      <c r="C33" s="29" t="s">
        <v>139</v>
      </c>
      <c r="D33" s="130" t="s">
        <v>133</v>
      </c>
      <c r="E33" s="132">
        <v>1.6</v>
      </c>
      <c r="F33" s="83" t="s">
        <v>140</v>
      </c>
      <c r="G33" s="83"/>
      <c r="H33" s="83"/>
      <c r="I33" s="83" t="s">
        <v>137</v>
      </c>
      <c r="J33" s="159">
        <v>45.6</v>
      </c>
      <c r="K33" s="87">
        <v>0.29724</v>
      </c>
      <c r="L33" s="55">
        <f t="shared" ref="L33:L54" si="12">J33*K33*A33</f>
        <v>13.554144000000001</v>
      </c>
      <c r="M33"/>
      <c r="P33"/>
    </row>
    <row r="34" spans="1:16">
      <c r="A34" s="2">
        <v>1</v>
      </c>
      <c r="B34" s="2" t="s">
        <v>141</v>
      </c>
      <c r="C34" s="28" t="s">
        <v>142</v>
      </c>
      <c r="D34" s="131" t="s">
        <v>133</v>
      </c>
      <c r="E34" s="133">
        <v>3.8</v>
      </c>
      <c r="F34" s="18" t="s">
        <v>143</v>
      </c>
      <c r="G34" s="18" t="s">
        <v>144</v>
      </c>
      <c r="H34" s="18" t="s">
        <v>145</v>
      </c>
      <c r="I34" s="18" t="s">
        <v>137</v>
      </c>
      <c r="J34" s="152">
        <v>10.78</v>
      </c>
      <c r="K34" s="18">
        <v>0.44447999999999999</v>
      </c>
      <c r="L34" s="55">
        <f t="shared" si="12"/>
        <v>4.7914943999999995</v>
      </c>
      <c r="P34"/>
    </row>
    <row r="35" spans="1:16">
      <c r="A35" s="2">
        <v>1</v>
      </c>
      <c r="B35" s="2" t="s">
        <v>81</v>
      </c>
      <c r="C35" s="28" t="s">
        <v>146</v>
      </c>
      <c r="D35" s="131" t="s">
        <v>147</v>
      </c>
      <c r="E35" s="133">
        <v>2</v>
      </c>
      <c r="F35" s="18" t="s">
        <v>140</v>
      </c>
      <c r="G35" s="18" t="s">
        <v>148</v>
      </c>
      <c r="H35" s="18" t="s">
        <v>149</v>
      </c>
      <c r="I35" s="18" t="s">
        <v>137</v>
      </c>
      <c r="J35" s="152">
        <v>19.600000000000001</v>
      </c>
      <c r="K35" s="18">
        <v>0.29724</v>
      </c>
      <c r="L35" s="55">
        <f t="shared" si="12"/>
        <v>5.8259040000000004</v>
      </c>
      <c r="P35"/>
    </row>
    <row r="36" spans="1:16">
      <c r="A36" s="2">
        <v>1</v>
      </c>
      <c r="B36" s="2" t="s">
        <v>93</v>
      </c>
      <c r="C36" s="28" t="s">
        <v>150</v>
      </c>
      <c r="D36" s="131" t="s">
        <v>133</v>
      </c>
      <c r="E36" s="133">
        <v>3.8</v>
      </c>
      <c r="F36" s="18" t="s">
        <v>143</v>
      </c>
      <c r="G36" s="18" t="s">
        <v>144</v>
      </c>
      <c r="H36" s="18" t="s">
        <v>149</v>
      </c>
      <c r="I36" s="18" t="s">
        <v>137</v>
      </c>
      <c r="J36" s="152">
        <v>8.82</v>
      </c>
      <c r="K36" s="18">
        <v>0.44447999999999999</v>
      </c>
      <c r="L36" s="55">
        <f t="shared" si="12"/>
        <v>3.9203136000000001</v>
      </c>
      <c r="P36"/>
    </row>
    <row r="37" spans="1:16">
      <c r="A37" s="2">
        <v>1</v>
      </c>
      <c r="B37" s="2" t="s">
        <v>141</v>
      </c>
      <c r="C37" s="28" t="s">
        <v>151</v>
      </c>
      <c r="D37" s="131" t="s">
        <v>133</v>
      </c>
      <c r="E37" s="133">
        <v>3.8</v>
      </c>
      <c r="F37" s="18" t="s">
        <v>143</v>
      </c>
      <c r="G37" s="18" t="s">
        <v>144</v>
      </c>
      <c r="H37" s="18" t="s">
        <v>92</v>
      </c>
      <c r="I37" s="18" t="s">
        <v>137</v>
      </c>
      <c r="J37" s="152">
        <v>10.78</v>
      </c>
      <c r="K37" s="41">
        <v>0.44447999999999999</v>
      </c>
      <c r="L37" s="55">
        <f t="shared" si="12"/>
        <v>4.7914943999999995</v>
      </c>
      <c r="M37"/>
      <c r="P37"/>
    </row>
    <row r="38" spans="1:16" ht="16">
      <c r="A38" s="2">
        <v>1</v>
      </c>
      <c r="B38" s="29" t="s">
        <v>152</v>
      </c>
      <c r="C38" s="29" t="s">
        <v>153</v>
      </c>
      <c r="D38" s="130" t="s">
        <v>133</v>
      </c>
      <c r="E38" s="132">
        <v>2</v>
      </c>
      <c r="F38" s="83" t="s">
        <v>140</v>
      </c>
      <c r="G38" s="83"/>
      <c r="H38" s="83"/>
      <c r="I38" s="83" t="s">
        <v>137</v>
      </c>
      <c r="J38" s="159">
        <v>75</v>
      </c>
      <c r="K38" s="87">
        <v>0.29724</v>
      </c>
      <c r="L38" s="55">
        <f t="shared" si="12"/>
        <v>22.292999999999999</v>
      </c>
      <c r="M38"/>
      <c r="P38"/>
    </row>
    <row r="39" spans="1:16">
      <c r="A39" s="2">
        <v>1</v>
      </c>
      <c r="B39" s="2" t="s">
        <v>93</v>
      </c>
      <c r="C39" s="2" t="s">
        <v>154</v>
      </c>
      <c r="D39" s="131" t="s">
        <v>133</v>
      </c>
      <c r="E39" s="113">
        <v>3.8</v>
      </c>
      <c r="F39" s="30" t="s">
        <v>143</v>
      </c>
      <c r="G39" s="18" t="s">
        <v>144</v>
      </c>
      <c r="H39" s="30" t="s">
        <v>85</v>
      </c>
      <c r="I39" s="30" t="s">
        <v>137</v>
      </c>
      <c r="J39" s="160">
        <v>10.78</v>
      </c>
      <c r="K39" s="18">
        <v>0.44447999999999999</v>
      </c>
      <c r="L39" s="55">
        <f t="shared" si="12"/>
        <v>4.7914943999999995</v>
      </c>
      <c r="M39"/>
      <c r="P39"/>
    </row>
    <row r="40" spans="1:16" ht="16">
      <c r="A40" s="2">
        <v>1</v>
      </c>
      <c r="B40" s="29" t="s">
        <v>152</v>
      </c>
      <c r="C40" s="29" t="s">
        <v>155</v>
      </c>
      <c r="D40" s="130" t="s">
        <v>133</v>
      </c>
      <c r="E40" s="132">
        <v>2</v>
      </c>
      <c r="F40" s="83" t="s">
        <v>140</v>
      </c>
      <c r="G40" s="83" t="s">
        <v>156</v>
      </c>
      <c r="H40" s="83" t="s">
        <v>157</v>
      </c>
      <c r="I40" s="83" t="s">
        <v>137</v>
      </c>
      <c r="J40" s="161">
        <v>35.200000000000003</v>
      </c>
      <c r="K40" s="87">
        <v>0.29724</v>
      </c>
      <c r="L40" s="55">
        <f t="shared" si="12"/>
        <v>10.462848000000001</v>
      </c>
      <c r="M40"/>
      <c r="P40"/>
    </row>
    <row r="41" spans="1:16" ht="16">
      <c r="A41" s="2">
        <v>1</v>
      </c>
      <c r="B41" s="29" t="s">
        <v>158</v>
      </c>
      <c r="C41" s="29" t="s">
        <v>155</v>
      </c>
      <c r="D41" s="130" t="s">
        <v>147</v>
      </c>
      <c r="E41" s="132">
        <v>1.2</v>
      </c>
      <c r="F41" s="83" t="s">
        <v>134</v>
      </c>
      <c r="G41" s="83" t="s">
        <v>159</v>
      </c>
      <c r="H41" s="83" t="s">
        <v>157</v>
      </c>
      <c r="I41" s="83" t="s">
        <v>137</v>
      </c>
      <c r="J41" s="161">
        <v>7.48</v>
      </c>
      <c r="K41" s="87">
        <v>0.23580000000000001</v>
      </c>
      <c r="L41" s="55">
        <f t="shared" si="12"/>
        <v>1.7637840000000002</v>
      </c>
      <c r="M41"/>
      <c r="P41"/>
    </row>
    <row r="42" spans="1:16" ht="16">
      <c r="A42" s="2">
        <v>1</v>
      </c>
      <c r="B42" s="29" t="s">
        <v>160</v>
      </c>
      <c r="C42" s="29" t="s">
        <v>155</v>
      </c>
      <c r="D42" s="130" t="s">
        <v>133</v>
      </c>
      <c r="E42" s="132">
        <v>1.4</v>
      </c>
      <c r="F42" s="83" t="s">
        <v>134</v>
      </c>
      <c r="G42" s="83" t="s">
        <v>161</v>
      </c>
      <c r="H42" s="83" t="s">
        <v>157</v>
      </c>
      <c r="I42" s="83" t="s">
        <v>137</v>
      </c>
      <c r="J42" s="161">
        <v>56.2</v>
      </c>
      <c r="K42" s="87">
        <v>0.23580000000000001</v>
      </c>
      <c r="L42" s="55">
        <f t="shared" si="12"/>
        <v>13.25196</v>
      </c>
      <c r="M42"/>
      <c r="P42"/>
    </row>
    <row r="43" spans="1:16" ht="16">
      <c r="A43" s="2">
        <v>1</v>
      </c>
      <c r="B43" s="29" t="s">
        <v>162</v>
      </c>
      <c r="C43" s="29" t="s">
        <v>155</v>
      </c>
      <c r="D43" s="130" t="s">
        <v>147</v>
      </c>
      <c r="E43" s="132">
        <v>1.2</v>
      </c>
      <c r="F43" s="83" t="s">
        <v>134</v>
      </c>
      <c r="G43" s="83" t="s">
        <v>163</v>
      </c>
      <c r="H43" s="83" t="s">
        <v>157</v>
      </c>
      <c r="I43" s="83" t="s">
        <v>137</v>
      </c>
      <c r="J43" s="161">
        <v>41.44</v>
      </c>
      <c r="K43" s="87">
        <v>0.23580000000000001</v>
      </c>
      <c r="L43" s="55">
        <f t="shared" si="12"/>
        <v>9.7715519999999998</v>
      </c>
      <c r="M43"/>
      <c r="P43"/>
    </row>
    <row r="44" spans="1:16" ht="16">
      <c r="A44" s="2">
        <v>1</v>
      </c>
      <c r="B44" s="29" t="s">
        <v>164</v>
      </c>
      <c r="C44" s="29" t="s">
        <v>155</v>
      </c>
      <c r="D44" s="130" t="s">
        <v>133</v>
      </c>
      <c r="E44" s="132">
        <v>1.6</v>
      </c>
      <c r="F44" s="83" t="s">
        <v>140</v>
      </c>
      <c r="G44" s="83" t="s">
        <v>165</v>
      </c>
      <c r="H44" s="83" t="s">
        <v>157</v>
      </c>
      <c r="I44" s="83" t="s">
        <v>137</v>
      </c>
      <c r="J44" s="161">
        <v>39.340000000000003</v>
      </c>
      <c r="K44" s="87">
        <v>0.29724</v>
      </c>
      <c r="L44" s="55">
        <f t="shared" si="12"/>
        <v>11.693421600000001</v>
      </c>
      <c r="M44"/>
      <c r="P44"/>
    </row>
    <row r="45" spans="1:16" ht="16">
      <c r="A45" s="2">
        <v>1</v>
      </c>
      <c r="B45" s="29" t="s">
        <v>166</v>
      </c>
      <c r="C45" s="29" t="s">
        <v>155</v>
      </c>
      <c r="D45" s="130" t="s">
        <v>133</v>
      </c>
      <c r="E45" s="132">
        <v>1.6</v>
      </c>
      <c r="F45" s="83" t="s">
        <v>140</v>
      </c>
      <c r="G45" s="83" t="s">
        <v>167</v>
      </c>
      <c r="H45" s="83" t="s">
        <v>157</v>
      </c>
      <c r="I45" s="83" t="s">
        <v>137</v>
      </c>
      <c r="J45" s="161">
        <v>32.020000000000003</v>
      </c>
      <c r="K45" s="87">
        <v>0.29724</v>
      </c>
      <c r="L45" s="55">
        <f t="shared" si="12"/>
        <v>9.5176248000000019</v>
      </c>
      <c r="M45"/>
      <c r="P45"/>
    </row>
    <row r="46" spans="1:16" ht="16">
      <c r="A46" s="2">
        <v>1</v>
      </c>
      <c r="B46" s="29" t="s">
        <v>168</v>
      </c>
      <c r="C46" s="29" t="s">
        <v>155</v>
      </c>
      <c r="D46" s="130" t="s">
        <v>133</v>
      </c>
      <c r="E46" s="132">
        <v>1.4</v>
      </c>
      <c r="F46" s="83" t="s">
        <v>134</v>
      </c>
      <c r="G46" s="83" t="s">
        <v>169</v>
      </c>
      <c r="H46" s="83" t="s">
        <v>157</v>
      </c>
      <c r="I46" s="83" t="s">
        <v>137</v>
      </c>
      <c r="J46" s="161">
        <v>24.2</v>
      </c>
      <c r="K46" s="87">
        <v>0.23580000000000001</v>
      </c>
      <c r="L46" s="55">
        <f t="shared" si="12"/>
        <v>5.7063600000000001</v>
      </c>
      <c r="M46"/>
      <c r="P46"/>
    </row>
    <row r="47" spans="1:16">
      <c r="A47" s="2">
        <v>1</v>
      </c>
      <c r="B47" s="2" t="s">
        <v>141</v>
      </c>
      <c r="C47" s="28" t="s">
        <v>170</v>
      </c>
      <c r="D47" s="131" t="s">
        <v>133</v>
      </c>
      <c r="E47" s="133">
        <v>3.8</v>
      </c>
      <c r="F47" s="18" t="s">
        <v>143</v>
      </c>
      <c r="G47" s="18" t="s">
        <v>144</v>
      </c>
      <c r="H47" s="18" t="s">
        <v>171</v>
      </c>
      <c r="I47" s="18" t="s">
        <v>137</v>
      </c>
      <c r="J47" s="160">
        <v>10.36</v>
      </c>
      <c r="K47" s="18">
        <v>0.44447999999999999</v>
      </c>
      <c r="L47" s="55">
        <f t="shared" si="12"/>
        <v>4.6048127999999995</v>
      </c>
      <c r="M47"/>
      <c r="P47"/>
    </row>
    <row r="48" spans="1:16">
      <c r="A48" s="2">
        <v>1</v>
      </c>
      <c r="B48" s="2" t="s">
        <v>102</v>
      </c>
      <c r="C48" s="28" t="s">
        <v>172</v>
      </c>
      <c r="D48" s="131" t="s">
        <v>133</v>
      </c>
      <c r="E48" s="133">
        <v>1.6</v>
      </c>
      <c r="F48" s="18" t="s">
        <v>140</v>
      </c>
      <c r="G48" s="18"/>
      <c r="H48" s="18"/>
      <c r="I48" s="18" t="s">
        <v>137</v>
      </c>
      <c r="J48" s="160">
        <v>32</v>
      </c>
      <c r="K48" s="41">
        <v>0.28675699999999998</v>
      </c>
      <c r="L48" s="55">
        <f t="shared" si="12"/>
        <v>9.1762239999999995</v>
      </c>
      <c r="M48"/>
      <c r="P48"/>
    </row>
    <row r="49" spans="1:16" ht="16">
      <c r="A49" s="2">
        <v>1</v>
      </c>
      <c r="B49" s="2" t="s">
        <v>173</v>
      </c>
      <c r="C49" s="28" t="s">
        <v>174</v>
      </c>
      <c r="D49" s="131" t="s">
        <v>147</v>
      </c>
      <c r="E49" s="133">
        <v>1.6</v>
      </c>
      <c r="F49" s="18" t="s">
        <v>140</v>
      </c>
      <c r="G49" s="18" t="s">
        <v>175</v>
      </c>
      <c r="H49" s="83" t="s">
        <v>157</v>
      </c>
      <c r="I49" s="18" t="s">
        <v>137</v>
      </c>
      <c r="J49" s="160">
        <v>367.24</v>
      </c>
      <c r="K49" s="41">
        <v>0.28676000000000001</v>
      </c>
      <c r="L49" s="55">
        <f t="shared" si="12"/>
        <v>105.3097424</v>
      </c>
      <c r="M49"/>
      <c r="P49"/>
    </row>
    <row r="50" spans="1:16" ht="16">
      <c r="A50" s="2">
        <v>1</v>
      </c>
      <c r="B50" s="2" t="s">
        <v>158</v>
      </c>
      <c r="C50" s="28" t="s">
        <v>174</v>
      </c>
      <c r="D50" s="131" t="s">
        <v>133</v>
      </c>
      <c r="E50" s="133">
        <v>1.2</v>
      </c>
      <c r="F50" s="18" t="s">
        <v>134</v>
      </c>
      <c r="G50" s="83" t="s">
        <v>159</v>
      </c>
      <c r="H50" s="83" t="s">
        <v>157</v>
      </c>
      <c r="I50" s="18" t="s">
        <v>137</v>
      </c>
      <c r="J50" s="160">
        <v>7.48</v>
      </c>
      <c r="K50" s="41">
        <v>0.23580000000000001</v>
      </c>
      <c r="L50" s="55">
        <f t="shared" si="12"/>
        <v>1.7637840000000002</v>
      </c>
      <c r="M50"/>
      <c r="P50"/>
    </row>
    <row r="51" spans="1:16" ht="16">
      <c r="A51" s="2">
        <v>1</v>
      </c>
      <c r="B51" s="2" t="s">
        <v>138</v>
      </c>
      <c r="C51" s="28" t="s">
        <v>174</v>
      </c>
      <c r="D51" s="131" t="s">
        <v>133</v>
      </c>
      <c r="E51" s="133">
        <v>1.6</v>
      </c>
      <c r="F51" s="18" t="s">
        <v>140</v>
      </c>
      <c r="G51" s="18" t="s">
        <v>176</v>
      </c>
      <c r="H51" s="83" t="s">
        <v>157</v>
      </c>
      <c r="I51" s="18" t="s">
        <v>137</v>
      </c>
      <c r="J51" s="160">
        <v>16.04</v>
      </c>
      <c r="K51" s="41">
        <v>0.28676000000000001</v>
      </c>
      <c r="L51" s="55">
        <f t="shared" si="12"/>
        <v>4.5996303999999997</v>
      </c>
      <c r="M51"/>
      <c r="P51"/>
    </row>
    <row r="52" spans="1:16" ht="16">
      <c r="A52" s="2">
        <v>1</v>
      </c>
      <c r="B52" s="2" t="s">
        <v>164</v>
      </c>
      <c r="C52" s="28" t="s">
        <v>174</v>
      </c>
      <c r="D52" s="131" t="s">
        <v>133</v>
      </c>
      <c r="E52" s="133">
        <v>1.6</v>
      </c>
      <c r="F52" s="18" t="s">
        <v>140</v>
      </c>
      <c r="G52" s="83" t="s">
        <v>165</v>
      </c>
      <c r="H52" s="83" t="s">
        <v>157</v>
      </c>
      <c r="I52" s="18" t="s">
        <v>137</v>
      </c>
      <c r="J52" s="160">
        <v>39.340000000000003</v>
      </c>
      <c r="K52" s="41">
        <v>0.28676000000000001</v>
      </c>
      <c r="L52" s="55">
        <f t="shared" si="12"/>
        <v>11.281138400000001</v>
      </c>
      <c r="M52"/>
      <c r="P52"/>
    </row>
    <row r="53" spans="1:16">
      <c r="A53" s="2">
        <v>1</v>
      </c>
      <c r="B53" s="2" t="s">
        <v>141</v>
      </c>
      <c r="C53" s="28" t="s">
        <v>177</v>
      </c>
      <c r="D53" s="131" t="s">
        <v>133</v>
      </c>
      <c r="E53" s="133">
        <v>3.8</v>
      </c>
      <c r="F53" s="18" t="s">
        <v>143</v>
      </c>
      <c r="G53" s="18" t="s">
        <v>144</v>
      </c>
      <c r="H53" s="18" t="s">
        <v>171</v>
      </c>
      <c r="I53" s="18" t="s">
        <v>137</v>
      </c>
      <c r="J53" s="160">
        <v>10.36</v>
      </c>
      <c r="K53" s="18">
        <v>0.44447999999999999</v>
      </c>
      <c r="L53" s="55">
        <f t="shared" si="12"/>
        <v>4.6048127999999995</v>
      </c>
      <c r="M53"/>
      <c r="P53"/>
    </row>
    <row r="54" spans="1:16" s="61" customFormat="1" ht="16" thickBot="1">
      <c r="A54" s="114">
        <v>1</v>
      </c>
      <c r="B54" s="56" t="s">
        <v>141</v>
      </c>
      <c r="C54" s="57" t="s">
        <v>178</v>
      </c>
      <c r="D54" s="56" t="s">
        <v>133</v>
      </c>
      <c r="E54" s="65">
        <v>3.8</v>
      </c>
      <c r="F54" s="65" t="s">
        <v>143</v>
      </c>
      <c r="G54" s="65"/>
      <c r="H54" s="65"/>
      <c r="I54" s="56"/>
      <c r="J54" s="162">
        <v>61.8</v>
      </c>
      <c r="K54" s="18">
        <v>0.44447999999999999</v>
      </c>
      <c r="L54" s="55">
        <f t="shared" si="12"/>
        <v>27.468863999999996</v>
      </c>
      <c r="M54" s="60"/>
    </row>
    <row r="55" spans="1:16" ht="21" thickTop="1" thickBot="1">
      <c r="G55" s="40" t="s">
        <v>105</v>
      </c>
      <c r="H55" s="18"/>
      <c r="I55" s="11"/>
      <c r="J55" s="178">
        <f>SUM(J32:J54)</f>
        <v>1110.2599999999998</v>
      </c>
      <c r="K55"/>
      <c r="L55" s="181">
        <f>SUM(L32:L54)</f>
        <v>325.93712399999993</v>
      </c>
      <c r="M55"/>
      <c r="P55"/>
    </row>
    <row r="56" spans="1:16" ht="16" thickTop="1">
      <c r="A56" s="31" t="s">
        <v>99</v>
      </c>
      <c r="G56" s="40"/>
      <c r="H56" s="18"/>
      <c r="I56" s="11"/>
      <c r="K56"/>
      <c r="L56"/>
      <c r="M56"/>
      <c r="P56"/>
    </row>
    <row r="57" spans="1:16" ht="48">
      <c r="A57" s="119" t="s">
        <v>179</v>
      </c>
      <c r="B57" s="119" t="s">
        <v>122</v>
      </c>
      <c r="C57" s="119" t="s">
        <v>180</v>
      </c>
      <c r="D57" s="119" t="s">
        <v>181</v>
      </c>
      <c r="E57" s="119" t="s">
        <v>182</v>
      </c>
      <c r="F57" s="35" t="s">
        <v>183</v>
      </c>
      <c r="G57" s="34" t="s">
        <v>79</v>
      </c>
      <c r="H57" s="34" t="s">
        <v>75</v>
      </c>
      <c r="I57" s="81" t="s">
        <v>76</v>
      </c>
      <c r="J57" s="153"/>
      <c r="K57" s="121" t="s">
        <v>80</v>
      </c>
      <c r="L57"/>
      <c r="M57"/>
      <c r="P57"/>
    </row>
    <row r="58" spans="1:16">
      <c r="A58" s="2">
        <v>1</v>
      </c>
      <c r="B58" s="2" t="s">
        <v>184</v>
      </c>
      <c r="C58" s="2" t="s">
        <v>174</v>
      </c>
      <c r="D58" s="2" t="s">
        <v>85</v>
      </c>
      <c r="E58" s="2" t="s">
        <v>159</v>
      </c>
      <c r="F58" s="84">
        <f>3.48</f>
        <v>3.48</v>
      </c>
      <c r="G58" s="30">
        <f t="shared" ref="G58:G67" si="13">F58*1.60934</f>
        <v>5.6005032000000003</v>
      </c>
      <c r="H58" s="182">
        <v>0.14876</v>
      </c>
      <c r="I58" s="134">
        <f>G58*H58</f>
        <v>0.8331308560320001</v>
      </c>
      <c r="K58" s="134">
        <f>I58*A58</f>
        <v>0.8331308560320001</v>
      </c>
      <c r="L58"/>
      <c r="M58"/>
      <c r="P58"/>
    </row>
    <row r="59" spans="1:16" ht="16">
      <c r="A59" s="2">
        <v>1</v>
      </c>
      <c r="B59" s="2" t="s">
        <v>106</v>
      </c>
      <c r="C59" s="2" t="s">
        <v>174</v>
      </c>
      <c r="D59" s="2" t="s">
        <v>85</v>
      </c>
      <c r="E59" s="29" t="s">
        <v>156</v>
      </c>
      <c r="F59" s="84">
        <v>16.86</v>
      </c>
      <c r="G59" s="30">
        <f t="shared" si="13"/>
        <v>27.133472399999999</v>
      </c>
      <c r="H59" s="182">
        <v>0.14876</v>
      </c>
      <c r="I59" s="134">
        <f t="shared" ref="I59:I67" si="14">G59*H59</f>
        <v>4.036375354224</v>
      </c>
      <c r="K59" s="134">
        <f t="shared" ref="K59:K67" si="15">I59*A59</f>
        <v>4.036375354224</v>
      </c>
      <c r="L59"/>
      <c r="M59"/>
      <c r="P59"/>
    </row>
    <row r="60" spans="1:16">
      <c r="A60" s="2">
        <v>2</v>
      </c>
      <c r="B60" s="2" t="s">
        <v>93</v>
      </c>
      <c r="C60" s="2" t="s">
        <v>174</v>
      </c>
      <c r="D60" s="2" t="s">
        <v>85</v>
      </c>
      <c r="E60" s="2" t="s">
        <v>144</v>
      </c>
      <c r="F60" s="84">
        <v>6.02</v>
      </c>
      <c r="G60" s="30">
        <f t="shared" si="13"/>
        <v>9.6882267999999989</v>
      </c>
      <c r="H60" s="182">
        <v>0.14876</v>
      </c>
      <c r="I60" s="134">
        <f t="shared" si="14"/>
        <v>1.4412206187679999</v>
      </c>
      <c r="K60" s="134">
        <f t="shared" si="15"/>
        <v>2.8824412375359998</v>
      </c>
      <c r="L60"/>
      <c r="M60"/>
      <c r="P60"/>
    </row>
    <row r="61" spans="1:16">
      <c r="A61" s="2">
        <v>2</v>
      </c>
      <c r="B61" s="2" t="s">
        <v>185</v>
      </c>
      <c r="C61" s="28" t="s">
        <v>174</v>
      </c>
      <c r="D61" s="2" t="s">
        <v>85</v>
      </c>
      <c r="E61" s="2" t="s">
        <v>148</v>
      </c>
      <c r="F61" s="84">
        <v>9.3000000000000007</v>
      </c>
      <c r="G61" s="30">
        <f t="shared" si="13"/>
        <v>14.966862000000001</v>
      </c>
      <c r="H61" s="182">
        <v>0.14876</v>
      </c>
      <c r="I61" s="134">
        <f t="shared" si="14"/>
        <v>2.2264703911200003</v>
      </c>
      <c r="K61" s="134">
        <f t="shared" si="15"/>
        <v>4.4529407822400007</v>
      </c>
      <c r="L61"/>
      <c r="M61"/>
      <c r="P61"/>
    </row>
    <row r="62" spans="1:16">
      <c r="A62" s="2">
        <v>1</v>
      </c>
      <c r="B62" s="2" t="s">
        <v>186</v>
      </c>
      <c r="C62" s="28" t="s">
        <v>174</v>
      </c>
      <c r="D62" s="2" t="s">
        <v>85</v>
      </c>
      <c r="E62" s="2" t="s">
        <v>187</v>
      </c>
      <c r="F62" s="84">
        <v>10.63</v>
      </c>
      <c r="G62" s="30">
        <f t="shared" si="13"/>
        <v>17.107284200000002</v>
      </c>
      <c r="H62" s="182">
        <v>0.14876</v>
      </c>
      <c r="I62" s="134">
        <f t="shared" si="14"/>
        <v>2.5448795975920002</v>
      </c>
      <c r="K62" s="134">
        <f t="shared" si="15"/>
        <v>2.5448795975920002</v>
      </c>
      <c r="L62"/>
      <c r="M62"/>
      <c r="P62"/>
    </row>
    <row r="63" spans="1:16" ht="16">
      <c r="A63" s="2">
        <v>1</v>
      </c>
      <c r="B63" s="2" t="s">
        <v>168</v>
      </c>
      <c r="C63" s="28" t="s">
        <v>174</v>
      </c>
      <c r="D63" s="2" t="s">
        <v>85</v>
      </c>
      <c r="E63" s="29" t="s">
        <v>169</v>
      </c>
      <c r="F63" s="84">
        <v>11.85</v>
      </c>
      <c r="G63" s="30">
        <f t="shared" si="13"/>
        <v>19.070678999999998</v>
      </c>
      <c r="H63" s="182">
        <v>0.14876</v>
      </c>
      <c r="I63" s="134">
        <f t="shared" si="14"/>
        <v>2.8369542080399999</v>
      </c>
      <c r="K63" s="134">
        <f t="shared" si="15"/>
        <v>2.8369542080399999</v>
      </c>
      <c r="L63"/>
      <c r="M63"/>
      <c r="P63"/>
    </row>
    <row r="64" spans="1:16">
      <c r="A64" s="2">
        <v>1</v>
      </c>
      <c r="B64" s="2" t="s">
        <v>93</v>
      </c>
      <c r="C64" s="28" t="s">
        <v>188</v>
      </c>
      <c r="D64" s="85" t="s">
        <v>189</v>
      </c>
      <c r="E64" s="144">
        <v>6.36</v>
      </c>
      <c r="F64" s="18">
        <v>1.1399999999999999</v>
      </c>
      <c r="G64" s="30">
        <f t="shared" si="13"/>
        <v>1.8346475999999998</v>
      </c>
      <c r="H64" s="182">
        <v>0.14876</v>
      </c>
      <c r="I64" s="134">
        <f t="shared" si="14"/>
        <v>0.27292217697599996</v>
      </c>
      <c r="K64" s="134">
        <f t="shared" si="15"/>
        <v>0.27292217697599996</v>
      </c>
      <c r="L64"/>
      <c r="M64"/>
      <c r="P64"/>
    </row>
    <row r="65" spans="1:16">
      <c r="A65" s="2">
        <v>1</v>
      </c>
      <c r="B65" s="2" t="s">
        <v>93</v>
      </c>
      <c r="C65" s="28" t="s">
        <v>188</v>
      </c>
      <c r="D65" s="85" t="s">
        <v>189</v>
      </c>
      <c r="E65" s="144">
        <v>18.350000000000001</v>
      </c>
      <c r="F65" s="18">
        <v>7.31</v>
      </c>
      <c r="G65" s="30">
        <f t="shared" si="13"/>
        <v>11.764275399999999</v>
      </c>
      <c r="H65" s="182">
        <v>0.14876</v>
      </c>
      <c r="I65" s="134">
        <f t="shared" si="14"/>
        <v>1.7500536085039999</v>
      </c>
      <c r="K65" s="134">
        <f t="shared" si="15"/>
        <v>1.7500536085039999</v>
      </c>
      <c r="L65"/>
      <c r="M65"/>
      <c r="P65"/>
    </row>
    <row r="66" spans="1:16">
      <c r="A66" s="2">
        <v>1</v>
      </c>
      <c r="B66" s="2" t="s">
        <v>93</v>
      </c>
      <c r="C66" s="28" t="s">
        <v>190</v>
      </c>
      <c r="D66" s="85" t="s">
        <v>189</v>
      </c>
      <c r="E66" s="144">
        <v>10.73</v>
      </c>
      <c r="F66" s="18">
        <v>4.3099999999999996</v>
      </c>
      <c r="G66" s="30">
        <f t="shared" si="13"/>
        <v>6.9362553999999994</v>
      </c>
      <c r="H66" s="182">
        <v>0.14876</v>
      </c>
      <c r="I66" s="134">
        <f t="shared" si="14"/>
        <v>1.0318373533039999</v>
      </c>
      <c r="K66" s="134">
        <f t="shared" si="15"/>
        <v>1.0318373533039999</v>
      </c>
      <c r="L66"/>
      <c r="M66"/>
      <c r="P66"/>
    </row>
    <row r="67" spans="1:16">
      <c r="A67" s="2">
        <v>1</v>
      </c>
      <c r="B67" s="2" t="s">
        <v>93</v>
      </c>
      <c r="C67" s="28" t="s">
        <v>191</v>
      </c>
      <c r="D67" s="85" t="s">
        <v>189</v>
      </c>
      <c r="E67" s="144">
        <v>18.84</v>
      </c>
      <c r="F67" s="18">
        <v>7.5</v>
      </c>
      <c r="G67" s="30">
        <f t="shared" si="13"/>
        <v>12.07005</v>
      </c>
      <c r="H67" s="87">
        <v>0.14876</v>
      </c>
      <c r="I67" s="134">
        <f t="shared" si="14"/>
        <v>1.7955406380000001</v>
      </c>
      <c r="K67" s="134">
        <f t="shared" si="15"/>
        <v>1.7955406380000001</v>
      </c>
      <c r="L67"/>
      <c r="M67"/>
      <c r="P67"/>
    </row>
    <row r="68" spans="1:16" ht="16" thickBot="1">
      <c r="A68" s="114"/>
      <c r="B68" s="114" t="s">
        <v>5</v>
      </c>
      <c r="C68" s="114"/>
      <c r="D68" s="114"/>
      <c r="E68" s="114"/>
      <c r="F68" s="52">
        <f>SUM(F58:F67)</f>
        <v>78.400000000000006</v>
      </c>
      <c r="G68" s="50">
        <f>F68*1.60934</f>
        <v>126.172256</v>
      </c>
      <c r="H68" s="52" t="s">
        <v>105</v>
      </c>
      <c r="I68" s="123">
        <f>SUM(I58:I67)</f>
        <v>18.769384802560001</v>
      </c>
      <c r="J68" s="154"/>
      <c r="K68" s="183">
        <f>SUM(K58:K67)</f>
        <v>22.437075812448001</v>
      </c>
      <c r="L68"/>
      <c r="M68"/>
      <c r="P68"/>
    </row>
    <row r="69" spans="1:16" ht="16" thickTop="1">
      <c r="C69" s="2" t="s">
        <v>192</v>
      </c>
      <c r="G69" s="140">
        <f>SUM(G68+M27)</f>
        <v>158.03718800000001</v>
      </c>
      <c r="H69" s="18"/>
      <c r="I69" s="11"/>
      <c r="K69" s="184">
        <f>SUM(K68+O26)</f>
        <v>27.177303096768</v>
      </c>
      <c r="L69"/>
      <c r="M69"/>
      <c r="P69"/>
    </row>
    <row r="70" spans="1:16">
      <c r="G70" s="40"/>
      <c r="H70" s="18"/>
      <c r="I70" s="11"/>
      <c r="K70"/>
      <c r="L70"/>
      <c r="M70"/>
      <c r="P70"/>
    </row>
    <row r="71" spans="1:16">
      <c r="A71" s="31" t="s">
        <v>193</v>
      </c>
      <c r="G71" s="40"/>
      <c r="H71" s="18"/>
      <c r="I71" s="11"/>
      <c r="K71"/>
      <c r="L71"/>
      <c r="M71"/>
      <c r="P71"/>
    </row>
    <row r="72" spans="1:16" ht="32">
      <c r="A72" s="125" t="s">
        <v>69</v>
      </c>
      <c r="B72" s="125" t="s">
        <v>123</v>
      </c>
      <c r="C72" s="125" t="s">
        <v>194</v>
      </c>
      <c r="D72" s="125" t="s">
        <v>182</v>
      </c>
      <c r="E72" s="125" t="s">
        <v>195</v>
      </c>
      <c r="F72" s="34" t="s">
        <v>75</v>
      </c>
      <c r="G72" s="138" t="s">
        <v>196</v>
      </c>
      <c r="H72" s="40"/>
      <c r="I72" s="18"/>
      <c r="K72"/>
      <c r="L72"/>
      <c r="M72"/>
      <c r="P72"/>
    </row>
    <row r="73" spans="1:16">
      <c r="A73" s="2" t="s">
        <v>197</v>
      </c>
      <c r="B73" s="2" t="s">
        <v>198</v>
      </c>
      <c r="C73" s="2" t="s">
        <v>199</v>
      </c>
      <c r="D73" s="2" t="s">
        <v>200</v>
      </c>
      <c r="E73" s="2">
        <v>434.52</v>
      </c>
      <c r="F73" s="113">
        <v>0.24587000000000001</v>
      </c>
      <c r="G73" s="42">
        <f>E73*F73</f>
        <v>106.8354324</v>
      </c>
      <c r="H73" s="40"/>
      <c r="I73" s="18"/>
      <c r="K73"/>
      <c r="L73"/>
      <c r="M73"/>
      <c r="P73"/>
    </row>
    <row r="74" spans="1:16">
      <c r="A74" s="2" t="s">
        <v>197</v>
      </c>
      <c r="B74" s="2" t="s">
        <v>198</v>
      </c>
      <c r="C74" s="2" t="s">
        <v>200</v>
      </c>
      <c r="D74" s="2" t="s">
        <v>199</v>
      </c>
      <c r="E74" s="2">
        <v>434.52</v>
      </c>
      <c r="F74" s="113">
        <v>0.24587000000000001</v>
      </c>
      <c r="G74" s="42">
        <f>E74*F74</f>
        <v>106.8354324</v>
      </c>
      <c r="H74" s="18"/>
      <c r="I74" s="11"/>
      <c r="K74"/>
      <c r="L74"/>
      <c r="M74"/>
      <c r="P74"/>
    </row>
    <row r="75" spans="1:16">
      <c r="F75" s="139" t="s">
        <v>201</v>
      </c>
      <c r="G75" s="185">
        <f>SUM(G73:G74)</f>
        <v>213.6708648</v>
      </c>
      <c r="H75" s="18"/>
      <c r="I75" s="11"/>
      <c r="K75"/>
      <c r="L75"/>
      <c r="M75"/>
      <c r="P75"/>
    </row>
    <row r="76" spans="1:16">
      <c r="E76" s="179">
        <f>SUM(E73:E74)</f>
        <v>869.04</v>
      </c>
      <c r="G76" s="40"/>
      <c r="H76" s="18"/>
      <c r="I76" s="11"/>
      <c r="K76"/>
      <c r="L76"/>
      <c r="M76"/>
      <c r="P76"/>
    </row>
    <row r="77" spans="1:16">
      <c r="G77" s="40"/>
      <c r="H77" s="18"/>
      <c r="I77" s="11"/>
      <c r="K77"/>
      <c r="L77"/>
      <c r="M77"/>
      <c r="P77"/>
    </row>
    <row r="78" spans="1:16">
      <c r="A78" s="31" t="s">
        <v>202</v>
      </c>
      <c r="G78" s="40"/>
      <c r="H78" s="18"/>
      <c r="I78" s="11"/>
      <c r="K78"/>
      <c r="L78"/>
      <c r="M78"/>
      <c r="P78"/>
    </row>
    <row r="79" spans="1:16" ht="16">
      <c r="A79" s="125" t="s">
        <v>69</v>
      </c>
      <c r="B79" s="125" t="s">
        <v>123</v>
      </c>
      <c r="C79" s="125" t="s">
        <v>203</v>
      </c>
      <c r="D79" s="34" t="s">
        <v>204</v>
      </c>
      <c r="E79" s="137" t="s">
        <v>80</v>
      </c>
      <c r="H79" s="18"/>
      <c r="I79" s="11"/>
      <c r="K79"/>
      <c r="L79"/>
      <c r="M79"/>
      <c r="P79"/>
    </row>
    <row r="80" spans="1:16" ht="19">
      <c r="A80" s="2" t="s">
        <v>205</v>
      </c>
      <c r="B80" s="2" t="s">
        <v>206</v>
      </c>
      <c r="C80" s="2">
        <v>1</v>
      </c>
      <c r="D80" s="18">
        <v>10.4</v>
      </c>
      <c r="E80" s="80">
        <f>D80*C80</f>
        <v>10.4</v>
      </c>
      <c r="H80" s="71"/>
      <c r="I80" s="72"/>
      <c r="J80" s="155"/>
      <c r="K80"/>
      <c r="L80"/>
      <c r="M80"/>
      <c r="P80"/>
    </row>
    <row r="81" spans="1:16" s="69" customFormat="1" ht="19">
      <c r="A81" s="2"/>
      <c r="B81" s="2"/>
      <c r="C81" s="2"/>
      <c r="D81" s="60" t="s">
        <v>207</v>
      </c>
      <c r="E81" s="186">
        <f>SUM(E80)</f>
        <v>10.4</v>
      </c>
      <c r="F81" s="70"/>
      <c r="G81" s="70"/>
      <c r="H81" s="30"/>
      <c r="I81" s="73"/>
      <c r="J81" s="152"/>
      <c r="L81"/>
    </row>
    <row r="82" spans="1:16" ht="19">
      <c r="L82" s="69"/>
    </row>
    <row r="85" spans="1:16" ht="19">
      <c r="A85" s="141" t="s">
        <v>208</v>
      </c>
      <c r="B85" s="141"/>
      <c r="C85" s="141"/>
      <c r="D85" s="188">
        <f>SUM(Q26,L55,K68,G75,E81)</f>
        <v>743.69462791597994</v>
      </c>
    </row>
    <row r="87" spans="1:16">
      <c r="B87" s="28"/>
    </row>
    <row r="88" spans="1:16" s="173" customFormat="1" ht="26">
      <c r="A88" s="175" t="s">
        <v>209</v>
      </c>
      <c r="B88" s="175"/>
      <c r="C88" s="175"/>
      <c r="D88" s="175"/>
      <c r="E88" s="176"/>
      <c r="F88" s="169"/>
      <c r="G88" s="169"/>
      <c r="H88" s="169"/>
      <c r="I88" s="170"/>
      <c r="J88" s="171"/>
      <c r="K88" s="172"/>
      <c r="L88" s="11"/>
      <c r="M88" s="172"/>
      <c r="P88" s="174"/>
    </row>
    <row r="89" spans="1:16" ht="26">
      <c r="L89" s="17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0625D-5A59-43E8-9E78-0C760C06AA8F}">
  <dimension ref="A1:Q28"/>
  <sheetViews>
    <sheetView workbookViewId="0">
      <pane ySplit="1" topLeftCell="A2" activePane="bottomLeft" state="frozen"/>
      <selection activeCell="D85" sqref="D85"/>
      <selection pane="bottomLeft" activeCell="D85" sqref="D85"/>
    </sheetView>
  </sheetViews>
  <sheetFormatPr baseColWidth="10" defaultColWidth="8.83203125" defaultRowHeight="15"/>
  <cols>
    <col min="1" max="1" width="16.1640625" bestFit="1" customWidth="1"/>
    <col min="2" max="2" width="11.5" style="2" customWidth="1"/>
    <col min="3" max="3" width="10.5" style="2" bestFit="1" customWidth="1"/>
    <col min="4" max="4" width="18.1640625" bestFit="1" customWidth="1"/>
    <col min="5" max="5" width="9.1640625" style="18" customWidth="1"/>
    <col min="7" max="7" width="10.33203125" style="30" bestFit="1" customWidth="1"/>
    <col min="8" max="8" width="8.83203125" style="18"/>
    <col min="9" max="10" width="10" style="11" customWidth="1"/>
    <col min="11" max="11" width="13.6640625" style="11" customWidth="1"/>
    <col min="12" max="12" width="12.5" style="11" customWidth="1"/>
    <col min="13" max="13" width="10" style="11" customWidth="1"/>
    <col min="14" max="14" width="10.6640625" style="11" customWidth="1"/>
    <col min="15" max="15" width="18.33203125" style="11" customWidth="1"/>
    <col min="16" max="16" width="5.33203125" style="11" customWidth="1"/>
    <col min="17" max="17" width="8.83203125" style="61"/>
  </cols>
  <sheetData>
    <row r="1" spans="1:17" ht="160">
      <c r="A1" s="32" t="s">
        <v>122</v>
      </c>
      <c r="B1" s="32" t="s">
        <v>210</v>
      </c>
      <c r="C1" s="32" t="s">
        <v>211</v>
      </c>
      <c r="D1" s="32" t="s">
        <v>212</v>
      </c>
      <c r="E1" s="33" t="s">
        <v>213</v>
      </c>
      <c r="F1" s="32" t="s">
        <v>124</v>
      </c>
      <c r="G1" s="34" t="s">
        <v>125</v>
      </c>
      <c r="H1" s="33" t="s">
        <v>126</v>
      </c>
      <c r="I1" s="35" t="s">
        <v>214</v>
      </c>
      <c r="J1" s="35" t="s">
        <v>215</v>
      </c>
      <c r="K1" s="35" t="s">
        <v>216</v>
      </c>
      <c r="L1" s="90" t="s">
        <v>217</v>
      </c>
      <c r="M1" s="35" t="s">
        <v>218</v>
      </c>
      <c r="N1" s="35" t="s">
        <v>219</v>
      </c>
      <c r="O1" s="90" t="s">
        <v>220</v>
      </c>
      <c r="P1" s="89"/>
      <c r="Q1" s="91" t="s">
        <v>76</v>
      </c>
    </row>
    <row r="2" spans="1:17">
      <c r="A2" t="s">
        <v>221</v>
      </c>
      <c r="B2" s="2" t="s">
        <v>222</v>
      </c>
      <c r="C2" s="28">
        <v>44601</v>
      </c>
      <c r="D2" t="s">
        <v>223</v>
      </c>
      <c r="E2" s="18">
        <v>2</v>
      </c>
      <c r="F2" t="s">
        <v>133</v>
      </c>
      <c r="G2" s="30">
        <v>1.6</v>
      </c>
      <c r="H2" s="18" t="s">
        <v>224</v>
      </c>
      <c r="I2" s="11">
        <f>SUM(29*2)*5</f>
        <v>290</v>
      </c>
      <c r="K2" s="11">
        <v>0.29724</v>
      </c>
      <c r="L2" s="23">
        <f t="shared" ref="L2:L16" si="0">I2*K2</f>
        <v>86.199600000000004</v>
      </c>
      <c r="M2" s="11">
        <v>90</v>
      </c>
      <c r="N2" s="11">
        <v>0.34075</v>
      </c>
      <c r="O2" s="23">
        <f>M2*N2</f>
        <v>30.6675</v>
      </c>
      <c r="Q2" s="92">
        <f>L2+O2</f>
        <v>116.86710000000001</v>
      </c>
    </row>
    <row r="3" spans="1:17">
      <c r="A3" t="s">
        <v>225</v>
      </c>
      <c r="B3" s="28">
        <v>44767</v>
      </c>
      <c r="C3" s="28">
        <v>45177</v>
      </c>
      <c r="D3" t="s">
        <v>223</v>
      </c>
      <c r="E3" s="18">
        <v>3</v>
      </c>
      <c r="F3" t="s">
        <v>133</v>
      </c>
      <c r="G3" s="30">
        <v>1.6</v>
      </c>
      <c r="H3" s="18" t="s">
        <v>224</v>
      </c>
      <c r="I3" s="11">
        <f>SUM(15*3)*46.4*44%</f>
        <v>918.72</v>
      </c>
      <c r="K3" s="11">
        <v>0.29724</v>
      </c>
      <c r="L3" s="23">
        <f t="shared" ref="L3" si="1">I3*K3</f>
        <v>273.08033280000001</v>
      </c>
      <c r="M3" s="11">
        <v>780.00000000000011</v>
      </c>
      <c r="N3" s="11">
        <v>0.34075</v>
      </c>
      <c r="O3" s="23">
        <f t="shared" ref="O3" si="2">M3*N3</f>
        <v>265.78500000000003</v>
      </c>
      <c r="Q3" s="92">
        <f t="shared" ref="Q3" si="3">L3+O3</f>
        <v>538.86533280000003</v>
      </c>
    </row>
    <row r="4" spans="1:17">
      <c r="A4" t="s">
        <v>226</v>
      </c>
      <c r="B4" s="28">
        <v>44655</v>
      </c>
      <c r="C4" s="28">
        <v>44961</v>
      </c>
      <c r="D4" t="s">
        <v>223</v>
      </c>
      <c r="E4" s="18">
        <v>3</v>
      </c>
      <c r="F4" t="s">
        <v>133</v>
      </c>
      <c r="G4" s="30">
        <v>1.2</v>
      </c>
      <c r="H4" s="18" t="s">
        <v>227</v>
      </c>
      <c r="I4" s="11">
        <f>SUM(7*3)*36</f>
        <v>756</v>
      </c>
      <c r="K4" s="11">
        <v>0.23580000000000001</v>
      </c>
      <c r="L4" s="23">
        <f t="shared" si="0"/>
        <v>178.26480000000001</v>
      </c>
      <c r="M4" s="11">
        <v>585</v>
      </c>
      <c r="N4" s="11">
        <v>0.34075</v>
      </c>
      <c r="O4" s="23">
        <f>M4*N4</f>
        <v>199.33875</v>
      </c>
      <c r="Q4" s="92">
        <f t="shared" ref="Q4:Q26" si="4">L4+O4</f>
        <v>377.60355000000004</v>
      </c>
    </row>
    <row r="5" spans="1:17">
      <c r="A5" t="s">
        <v>228</v>
      </c>
      <c r="B5" s="2" t="s">
        <v>222</v>
      </c>
      <c r="D5" t="s">
        <v>223</v>
      </c>
      <c r="E5" s="18">
        <v>3</v>
      </c>
      <c r="F5" t="s">
        <v>133</v>
      </c>
      <c r="G5" s="30">
        <v>1.8</v>
      </c>
      <c r="H5" s="18" t="s">
        <v>224</v>
      </c>
      <c r="I5" s="11">
        <f>SUM(16*3)*46.4</f>
        <v>2227.1999999999998</v>
      </c>
      <c r="K5" s="11">
        <v>0.29724</v>
      </c>
      <c r="L5" s="23">
        <f t="shared" si="0"/>
        <v>662.01292799999999</v>
      </c>
      <c r="M5" s="11">
        <v>780.00000000000011</v>
      </c>
      <c r="N5" s="11">
        <v>0.34075</v>
      </c>
      <c r="O5" s="23">
        <f t="shared" ref="O5:O26" si="5">M5*N5</f>
        <v>265.78500000000003</v>
      </c>
      <c r="Q5" s="92">
        <f t="shared" si="4"/>
        <v>927.79792799999996</v>
      </c>
    </row>
    <row r="6" spans="1:17">
      <c r="A6" t="s">
        <v>229</v>
      </c>
      <c r="B6" s="28">
        <v>44593</v>
      </c>
      <c r="C6" s="28">
        <v>44757</v>
      </c>
      <c r="D6" t="s">
        <v>223</v>
      </c>
      <c r="E6" s="18">
        <v>3</v>
      </c>
      <c r="F6" t="s">
        <v>133</v>
      </c>
      <c r="G6" s="30">
        <v>1.2</v>
      </c>
      <c r="H6" s="18" t="s">
        <v>227</v>
      </c>
      <c r="I6" s="11">
        <f>SUM(40*3)*22</f>
        <v>2640</v>
      </c>
      <c r="K6" s="11">
        <v>0.23580000000000001</v>
      </c>
      <c r="L6" s="23">
        <f t="shared" si="0"/>
        <v>622.51200000000006</v>
      </c>
      <c r="M6" s="11">
        <v>345</v>
      </c>
      <c r="N6" s="11">
        <v>0.34075</v>
      </c>
      <c r="O6" s="23">
        <f t="shared" si="5"/>
        <v>117.55875</v>
      </c>
      <c r="Q6" s="92">
        <f t="shared" si="4"/>
        <v>740.07075000000009</v>
      </c>
    </row>
    <row r="7" spans="1:17">
      <c r="A7" t="s">
        <v>230</v>
      </c>
      <c r="B7" s="2" t="s">
        <v>222</v>
      </c>
      <c r="D7" t="s">
        <v>223</v>
      </c>
      <c r="E7" s="18">
        <v>3</v>
      </c>
      <c r="F7" t="s">
        <v>133</v>
      </c>
      <c r="G7" s="30">
        <v>2</v>
      </c>
      <c r="H7" s="18" t="s">
        <v>224</v>
      </c>
      <c r="I7" s="11">
        <f>SUM(20*3)*46.4</f>
        <v>2784</v>
      </c>
      <c r="K7" s="11">
        <v>0.29724</v>
      </c>
      <c r="L7" s="23">
        <f t="shared" si="0"/>
        <v>827.51616000000001</v>
      </c>
      <c r="M7" s="11">
        <v>780.00000000000011</v>
      </c>
      <c r="N7" s="11">
        <v>0.34075</v>
      </c>
      <c r="O7" s="23">
        <f t="shared" si="5"/>
        <v>265.78500000000003</v>
      </c>
      <c r="Q7" s="92">
        <f t="shared" si="4"/>
        <v>1093.30116</v>
      </c>
    </row>
    <row r="8" spans="1:17">
      <c r="A8" t="s">
        <v>231</v>
      </c>
      <c r="B8" s="2" t="s">
        <v>222</v>
      </c>
      <c r="D8" t="s">
        <v>223</v>
      </c>
      <c r="E8" s="18">
        <v>3</v>
      </c>
      <c r="F8" t="s">
        <v>133</v>
      </c>
      <c r="G8" s="30">
        <v>1.6</v>
      </c>
      <c r="H8" s="18" t="s">
        <v>224</v>
      </c>
      <c r="I8" s="11">
        <f>SUM(40*3)*46.4</f>
        <v>5568</v>
      </c>
      <c r="K8" s="11">
        <v>0.29724</v>
      </c>
      <c r="L8" s="23">
        <f t="shared" si="0"/>
        <v>1655.03232</v>
      </c>
      <c r="M8" s="11">
        <v>780.00000000000011</v>
      </c>
      <c r="N8" s="11">
        <v>0.34075</v>
      </c>
      <c r="O8" s="23">
        <f t="shared" si="5"/>
        <v>265.78500000000003</v>
      </c>
      <c r="Q8" s="92">
        <f t="shared" si="4"/>
        <v>1920.8173200000001</v>
      </c>
    </row>
    <row r="9" spans="1:17">
      <c r="A9" t="s">
        <v>232</v>
      </c>
      <c r="B9" s="2" t="s">
        <v>222</v>
      </c>
      <c r="D9" t="s">
        <v>223</v>
      </c>
      <c r="E9" s="18">
        <v>3</v>
      </c>
      <c r="F9" t="s">
        <v>133</v>
      </c>
      <c r="G9" s="30">
        <v>2</v>
      </c>
      <c r="H9" s="18" t="s">
        <v>224</v>
      </c>
      <c r="I9" s="11">
        <f>SUM(34*3)*46.4</f>
        <v>4732.8</v>
      </c>
      <c r="K9" s="11">
        <v>0.29724</v>
      </c>
      <c r="L9" s="23">
        <f t="shared" si="0"/>
        <v>1406.777472</v>
      </c>
      <c r="M9" s="11">
        <v>780.00000000000011</v>
      </c>
      <c r="N9" s="11">
        <v>0.34075</v>
      </c>
      <c r="O9" s="23">
        <f t="shared" si="5"/>
        <v>265.78500000000003</v>
      </c>
      <c r="Q9" s="92">
        <f t="shared" si="4"/>
        <v>1672.5624720000001</v>
      </c>
    </row>
    <row r="10" spans="1:17">
      <c r="A10" t="s">
        <v>233</v>
      </c>
      <c r="B10" s="2" t="s">
        <v>222</v>
      </c>
      <c r="C10" s="28">
        <v>44735</v>
      </c>
      <c r="D10" t="s">
        <v>223</v>
      </c>
      <c r="E10" s="18">
        <v>3</v>
      </c>
      <c r="F10" t="s">
        <v>133</v>
      </c>
      <c r="G10" s="30">
        <v>1.4</v>
      </c>
      <c r="H10" s="18" t="s">
        <v>224</v>
      </c>
      <c r="I10" s="11">
        <f>SUM(56*3)*24</f>
        <v>4032</v>
      </c>
      <c r="K10" s="11">
        <v>0.29724</v>
      </c>
      <c r="L10" s="23">
        <f t="shared" si="0"/>
        <v>1198.4716800000001</v>
      </c>
      <c r="M10" s="11">
        <v>360</v>
      </c>
      <c r="N10" s="11">
        <v>0.34075</v>
      </c>
      <c r="O10" s="23">
        <f t="shared" si="5"/>
        <v>122.67</v>
      </c>
      <c r="Q10" s="92">
        <f t="shared" si="4"/>
        <v>1321.1416800000002</v>
      </c>
    </row>
    <row r="11" spans="1:17">
      <c r="A11" t="s">
        <v>234</v>
      </c>
      <c r="B11" s="2" t="s">
        <v>222</v>
      </c>
      <c r="D11" t="s">
        <v>223</v>
      </c>
      <c r="E11" s="18">
        <v>3</v>
      </c>
      <c r="F11" t="s">
        <v>133</v>
      </c>
      <c r="G11" s="30">
        <v>3.8</v>
      </c>
      <c r="H11" s="18" t="s">
        <v>143</v>
      </c>
      <c r="I11" s="11">
        <f>SUM(13*3)*46.4</f>
        <v>1809.6</v>
      </c>
      <c r="K11" s="11">
        <v>0.44479999999999997</v>
      </c>
      <c r="L11" s="23">
        <f t="shared" si="0"/>
        <v>804.91007999999988</v>
      </c>
      <c r="M11" s="11">
        <v>780.00000000000011</v>
      </c>
      <c r="N11" s="11">
        <v>0.34075</v>
      </c>
      <c r="O11" s="23">
        <f t="shared" si="5"/>
        <v>265.78500000000003</v>
      </c>
      <c r="Q11" s="92">
        <f t="shared" si="4"/>
        <v>1070.69508</v>
      </c>
    </row>
    <row r="12" spans="1:17">
      <c r="A12" t="s">
        <v>235</v>
      </c>
      <c r="B12" s="2" t="s">
        <v>222</v>
      </c>
      <c r="C12" s="28">
        <v>44775</v>
      </c>
      <c r="D12" t="s">
        <v>223</v>
      </c>
      <c r="E12" s="18">
        <v>2</v>
      </c>
      <c r="F12" t="s">
        <v>133</v>
      </c>
      <c r="G12" s="30">
        <v>1.6</v>
      </c>
      <c r="H12" s="18" t="s">
        <v>224</v>
      </c>
      <c r="I12" s="11">
        <f>SUM(32*2)*28.5</f>
        <v>1824</v>
      </c>
      <c r="K12" s="11">
        <v>0.29724</v>
      </c>
      <c r="L12" s="23">
        <f t="shared" si="0"/>
        <v>542.16575999999998</v>
      </c>
      <c r="M12" s="11">
        <v>450</v>
      </c>
      <c r="N12" s="11">
        <v>0.34075</v>
      </c>
      <c r="O12" s="23">
        <f t="shared" si="5"/>
        <v>153.33750000000001</v>
      </c>
      <c r="Q12" s="92">
        <f t="shared" si="4"/>
        <v>695.50325999999995</v>
      </c>
    </row>
    <row r="13" spans="1:17">
      <c r="A13" t="s">
        <v>236</v>
      </c>
      <c r="B13" s="2" t="s">
        <v>222</v>
      </c>
      <c r="C13" s="28">
        <v>44669</v>
      </c>
      <c r="D13" t="s">
        <v>223</v>
      </c>
      <c r="E13" s="18">
        <v>3</v>
      </c>
      <c r="F13" t="s">
        <v>133</v>
      </c>
      <c r="G13" s="30">
        <v>1.6</v>
      </c>
      <c r="H13" s="18" t="s">
        <v>224</v>
      </c>
      <c r="I13" s="11">
        <f>SUM(104*3)*6</f>
        <v>1872</v>
      </c>
      <c r="K13" s="11">
        <v>0.29724</v>
      </c>
      <c r="L13" s="23">
        <f t="shared" si="0"/>
        <v>556.43327999999997</v>
      </c>
      <c r="M13" s="11">
        <v>225</v>
      </c>
      <c r="N13" s="11">
        <v>0.34075</v>
      </c>
      <c r="O13" s="23">
        <f t="shared" si="5"/>
        <v>76.668750000000003</v>
      </c>
      <c r="Q13" s="92">
        <f t="shared" si="4"/>
        <v>633.10203000000001</v>
      </c>
    </row>
    <row r="14" spans="1:17">
      <c r="A14" t="s">
        <v>237</v>
      </c>
      <c r="B14" s="2" t="s">
        <v>222</v>
      </c>
      <c r="C14" s="28">
        <v>44616</v>
      </c>
      <c r="D14" t="s">
        <v>223</v>
      </c>
      <c r="E14" s="18">
        <v>3</v>
      </c>
      <c r="F14" t="s">
        <v>133</v>
      </c>
      <c r="G14" s="30">
        <v>1.4</v>
      </c>
      <c r="H14" s="18" t="s">
        <v>224</v>
      </c>
      <c r="I14" s="11">
        <f>SUM(11*3)*14</f>
        <v>462</v>
      </c>
      <c r="K14" s="11">
        <v>0.29724</v>
      </c>
      <c r="L14" s="23">
        <f t="shared" si="0"/>
        <v>137.32488000000001</v>
      </c>
      <c r="M14" s="11">
        <v>105.00000000000001</v>
      </c>
      <c r="N14" s="11">
        <v>0.34075</v>
      </c>
      <c r="O14" s="23">
        <f t="shared" si="5"/>
        <v>35.778750000000002</v>
      </c>
      <c r="Q14" s="92">
        <f t="shared" si="4"/>
        <v>173.10363000000001</v>
      </c>
    </row>
    <row r="15" spans="1:17">
      <c r="A15" t="s">
        <v>238</v>
      </c>
      <c r="B15" s="28">
        <v>44711</v>
      </c>
      <c r="C15" s="28">
        <v>45016</v>
      </c>
      <c r="D15" t="s">
        <v>223</v>
      </c>
      <c r="E15" s="18">
        <v>3</v>
      </c>
      <c r="F15" t="s">
        <v>133</v>
      </c>
      <c r="G15" s="30">
        <v>1.6</v>
      </c>
      <c r="H15" s="18" t="s">
        <v>224</v>
      </c>
      <c r="I15" s="11">
        <f>SUM(18*3)*28</f>
        <v>1512</v>
      </c>
      <c r="K15" s="11">
        <v>0.29724</v>
      </c>
      <c r="L15" s="23">
        <f t="shared" si="0"/>
        <v>449.42687999999998</v>
      </c>
      <c r="M15" s="11">
        <v>450</v>
      </c>
      <c r="N15" s="11">
        <v>0.34075</v>
      </c>
      <c r="O15" s="23">
        <f t="shared" si="5"/>
        <v>153.33750000000001</v>
      </c>
      <c r="Q15" s="92">
        <f t="shared" si="4"/>
        <v>602.76437999999996</v>
      </c>
    </row>
    <row r="16" spans="1:17">
      <c r="A16" t="s">
        <v>239</v>
      </c>
      <c r="B16" s="2" t="s">
        <v>222</v>
      </c>
      <c r="D16" t="s">
        <v>223</v>
      </c>
      <c r="E16" s="18">
        <v>2</v>
      </c>
      <c r="F16" t="s">
        <v>133</v>
      </c>
      <c r="G16" s="30">
        <v>1.6</v>
      </c>
      <c r="H16" s="18" t="s">
        <v>224</v>
      </c>
      <c r="I16" s="11">
        <f>SUM(20*2)*46.4</f>
        <v>1856</v>
      </c>
      <c r="K16" s="11">
        <v>0.29724</v>
      </c>
      <c r="L16" s="23">
        <f t="shared" si="0"/>
        <v>551.67744000000005</v>
      </c>
      <c r="M16" s="11">
        <v>1013.9999999999999</v>
      </c>
      <c r="N16" s="11">
        <v>0.34075</v>
      </c>
      <c r="O16" s="23">
        <f t="shared" si="5"/>
        <v>345.52049999999997</v>
      </c>
      <c r="Q16" s="92">
        <f t="shared" si="4"/>
        <v>897.19794000000002</v>
      </c>
    </row>
    <row r="17" spans="1:17">
      <c r="A17" t="s">
        <v>240</v>
      </c>
      <c r="B17" s="2" t="s">
        <v>222</v>
      </c>
      <c r="C17" s="28">
        <v>44641</v>
      </c>
      <c r="D17" t="s">
        <v>66</v>
      </c>
      <c r="E17" s="18">
        <v>3</v>
      </c>
      <c r="I17" s="11">
        <f>19.5*3*10</f>
        <v>585</v>
      </c>
      <c r="J17" s="11">
        <f>I17*1.60934</f>
        <v>941.46389999999997</v>
      </c>
      <c r="K17" s="11">
        <v>3.5490000000000001E-2</v>
      </c>
      <c r="L17" s="23">
        <f>J17*K17</f>
        <v>33.412553811000002</v>
      </c>
      <c r="M17" s="11">
        <v>165</v>
      </c>
      <c r="N17" s="11">
        <v>0.34075</v>
      </c>
      <c r="O17" s="23">
        <f t="shared" si="5"/>
        <v>56.223750000000003</v>
      </c>
      <c r="Q17" s="92">
        <f t="shared" si="4"/>
        <v>89.636303811000005</v>
      </c>
    </row>
    <row r="18" spans="1:17">
      <c r="A18" t="s">
        <v>241</v>
      </c>
      <c r="B18" s="2" t="s">
        <v>222</v>
      </c>
      <c r="C18" s="28">
        <v>45028</v>
      </c>
      <c r="D18" t="s">
        <v>242</v>
      </c>
      <c r="E18" s="18">
        <v>3</v>
      </c>
      <c r="I18" s="11">
        <f>6.92*3*46.4</f>
        <v>963.2639999999999</v>
      </c>
      <c r="J18" s="11">
        <f t="shared" ref="J18:J19" si="6">I18*1.60934</f>
        <v>1550.2192857599998</v>
      </c>
      <c r="K18" s="11">
        <v>3.5490000000000001E-2</v>
      </c>
      <c r="L18" s="23">
        <f t="shared" ref="L18:L19" si="7">J18*K18</f>
        <v>55.017282451622393</v>
      </c>
      <c r="M18" s="11">
        <v>780.00000000000011</v>
      </c>
      <c r="N18" s="11">
        <v>0.34075</v>
      </c>
      <c r="O18" s="23">
        <f t="shared" si="5"/>
        <v>265.78500000000003</v>
      </c>
      <c r="Q18" s="92">
        <f t="shared" si="4"/>
        <v>320.80228245162243</v>
      </c>
    </row>
    <row r="19" spans="1:17">
      <c r="A19" t="s">
        <v>243</v>
      </c>
      <c r="B19" s="28">
        <v>44613</v>
      </c>
      <c r="C19" s="28">
        <v>44985</v>
      </c>
      <c r="D19" t="s">
        <v>242</v>
      </c>
      <c r="E19" s="18">
        <v>3</v>
      </c>
      <c r="I19" s="11">
        <f>13.58*3*39.6</f>
        <v>1613.3040000000001</v>
      </c>
      <c r="J19" s="11">
        <f t="shared" si="6"/>
        <v>2596.3546593599999</v>
      </c>
      <c r="K19" s="11">
        <v>3.5490000000000001E-2</v>
      </c>
      <c r="L19" s="23">
        <f t="shared" si="7"/>
        <v>92.144626860686401</v>
      </c>
      <c r="M19" s="11">
        <v>660</v>
      </c>
      <c r="N19" s="11">
        <v>0.34075</v>
      </c>
      <c r="O19" s="23">
        <f t="shared" si="5"/>
        <v>224.89500000000001</v>
      </c>
      <c r="Q19" s="92">
        <f t="shared" si="4"/>
        <v>317.03962686068644</v>
      </c>
    </row>
    <row r="20" spans="1:17">
      <c r="A20" t="s">
        <v>244</v>
      </c>
      <c r="B20" s="28">
        <v>44662</v>
      </c>
      <c r="C20" s="28">
        <v>44855</v>
      </c>
      <c r="D20" t="s">
        <v>245</v>
      </c>
      <c r="E20" s="18">
        <v>3</v>
      </c>
      <c r="G20" s="30" t="s">
        <v>29</v>
      </c>
      <c r="H20" s="18" t="s">
        <v>29</v>
      </c>
      <c r="I20" s="11" t="s">
        <v>29</v>
      </c>
      <c r="L20" s="23"/>
      <c r="M20" s="11">
        <v>405</v>
      </c>
      <c r="N20" s="11">
        <v>0.34075</v>
      </c>
      <c r="O20" s="23">
        <f t="shared" si="5"/>
        <v>138.00375</v>
      </c>
      <c r="Q20" s="92">
        <f t="shared" si="4"/>
        <v>138.00375</v>
      </c>
    </row>
    <row r="21" spans="1:17">
      <c r="A21" t="s">
        <v>246</v>
      </c>
      <c r="B21" s="2" t="s">
        <v>222</v>
      </c>
      <c r="C21" s="28">
        <v>44947</v>
      </c>
      <c r="D21" t="s">
        <v>247</v>
      </c>
      <c r="E21" s="18">
        <v>0</v>
      </c>
      <c r="G21" s="30" t="s">
        <v>29</v>
      </c>
      <c r="H21" s="18" t="s">
        <v>29</v>
      </c>
      <c r="I21" s="11" t="s">
        <v>29</v>
      </c>
      <c r="L21" s="23"/>
      <c r="M21" s="11">
        <v>1950</v>
      </c>
      <c r="N21" s="11">
        <v>0.34075</v>
      </c>
      <c r="O21" s="23">
        <f t="shared" si="5"/>
        <v>664.46249999999998</v>
      </c>
      <c r="Q21" s="92">
        <f t="shared" si="4"/>
        <v>664.46249999999998</v>
      </c>
    </row>
    <row r="22" spans="1:17">
      <c r="A22" t="s">
        <v>248</v>
      </c>
      <c r="B22" s="2" t="s">
        <v>222</v>
      </c>
      <c r="C22" s="28">
        <v>44593</v>
      </c>
      <c r="D22" t="s">
        <v>247</v>
      </c>
      <c r="E22" s="18">
        <v>0</v>
      </c>
      <c r="G22" s="30" t="s">
        <v>29</v>
      </c>
      <c r="H22" s="18" t="s">
        <v>29</v>
      </c>
      <c r="I22" s="11" t="s">
        <v>29</v>
      </c>
      <c r="L22" s="23"/>
      <c r="M22" s="11">
        <v>0</v>
      </c>
      <c r="N22" s="11">
        <v>0.34075</v>
      </c>
      <c r="O22" s="23">
        <f t="shared" si="5"/>
        <v>0</v>
      </c>
      <c r="Q22" s="92">
        <f t="shared" si="4"/>
        <v>0</v>
      </c>
    </row>
    <row r="23" spans="1:17">
      <c r="A23" t="s">
        <v>249</v>
      </c>
      <c r="B23" s="2" t="s">
        <v>222</v>
      </c>
      <c r="D23" t="s">
        <v>247</v>
      </c>
      <c r="E23" s="18">
        <v>0</v>
      </c>
      <c r="G23" s="30" t="s">
        <v>29</v>
      </c>
      <c r="H23" s="18" t="s">
        <v>29</v>
      </c>
      <c r="I23" s="11" t="s">
        <v>29</v>
      </c>
      <c r="L23" s="23"/>
      <c r="M23" s="11">
        <v>0</v>
      </c>
      <c r="N23" s="11">
        <v>0.34075</v>
      </c>
      <c r="O23" s="23">
        <f t="shared" si="5"/>
        <v>0</v>
      </c>
      <c r="Q23" s="92">
        <f t="shared" si="4"/>
        <v>0</v>
      </c>
    </row>
    <row r="24" spans="1:17">
      <c r="A24" t="s">
        <v>250</v>
      </c>
      <c r="B24" s="2" t="s">
        <v>222</v>
      </c>
      <c r="C24" s="28">
        <v>45016</v>
      </c>
      <c r="D24" t="s">
        <v>247</v>
      </c>
      <c r="E24" s="18">
        <v>0</v>
      </c>
      <c r="G24" s="30" t="s">
        <v>29</v>
      </c>
      <c r="H24" s="18" t="s">
        <v>29</v>
      </c>
      <c r="I24" s="11" t="s">
        <v>29</v>
      </c>
      <c r="L24" s="23"/>
      <c r="M24" s="11">
        <v>1950</v>
      </c>
      <c r="N24" s="11">
        <v>0.34075</v>
      </c>
      <c r="O24" s="23">
        <f t="shared" si="5"/>
        <v>664.46249999999998</v>
      </c>
      <c r="Q24" s="92">
        <f t="shared" si="4"/>
        <v>664.46249999999998</v>
      </c>
    </row>
    <row r="25" spans="1:17">
      <c r="A25" t="s">
        <v>251</v>
      </c>
      <c r="B25" s="2" t="s">
        <v>222</v>
      </c>
      <c r="C25" s="28">
        <v>44593</v>
      </c>
      <c r="D25" t="s">
        <v>247</v>
      </c>
      <c r="E25" s="18">
        <v>0</v>
      </c>
      <c r="G25" s="30" t="s">
        <v>29</v>
      </c>
      <c r="H25" s="18" t="s">
        <v>29</v>
      </c>
      <c r="I25" s="11" t="s">
        <v>29</v>
      </c>
      <c r="L25" s="23"/>
      <c r="M25" s="11">
        <v>1950</v>
      </c>
      <c r="N25" s="11">
        <v>0.34075</v>
      </c>
      <c r="O25" s="23">
        <f t="shared" si="5"/>
        <v>664.46249999999998</v>
      </c>
      <c r="Q25" s="92">
        <f t="shared" si="4"/>
        <v>664.46249999999998</v>
      </c>
    </row>
    <row r="26" spans="1:17">
      <c r="A26" t="s">
        <v>252</v>
      </c>
      <c r="B26" s="28">
        <v>44835</v>
      </c>
      <c r="D26" t="s">
        <v>247</v>
      </c>
      <c r="E26" s="18">
        <v>0</v>
      </c>
      <c r="G26" s="30" t="s">
        <v>29</v>
      </c>
      <c r="H26" s="18" t="s">
        <v>29</v>
      </c>
      <c r="I26" s="11" t="s">
        <v>29</v>
      </c>
      <c r="L26" s="23"/>
      <c r="M26" s="11">
        <v>65</v>
      </c>
      <c r="N26" s="11">
        <v>0.34075</v>
      </c>
      <c r="O26" s="23">
        <f t="shared" si="5"/>
        <v>22.14875</v>
      </c>
      <c r="Q26" s="92">
        <f t="shared" si="4"/>
        <v>22.14875</v>
      </c>
    </row>
    <row r="27" spans="1:17">
      <c r="L27" s="23"/>
      <c r="O27" s="23"/>
      <c r="Q27" s="92"/>
    </row>
    <row r="28" spans="1:17">
      <c r="L28" s="187">
        <f>SUM(L2:L27)</f>
        <v>10132.380075923309</v>
      </c>
      <c r="O28" s="23">
        <f>SUM(O1:O26)</f>
        <v>5530.0317499999992</v>
      </c>
      <c r="Q28" s="92">
        <f>SUM(Q2:Q27)</f>
        <v>15662.411825923309</v>
      </c>
    </row>
  </sheetData>
  <sortState xmlns:xlrd2="http://schemas.microsoft.com/office/spreadsheetml/2017/richdata2" ref="A1:I26">
    <sortCondition ref="D1:D26"/>
    <sortCondition ref="A1:A2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B539F-4DD0-4EA3-BD32-AE9F29DCDF72}">
  <dimension ref="A1:Q80"/>
  <sheetViews>
    <sheetView workbookViewId="0">
      <pane ySplit="1" topLeftCell="A29" activePane="bottomLeft" state="frozen"/>
      <selection activeCell="D85" sqref="D85"/>
      <selection pane="bottomLeft" activeCell="D85" sqref="D85"/>
    </sheetView>
  </sheetViews>
  <sheetFormatPr baseColWidth="10" defaultColWidth="8.83203125" defaultRowHeight="15"/>
  <cols>
    <col min="1" max="1" width="9.6640625" style="2" customWidth="1"/>
    <col min="2" max="2" width="11.5" style="2" customWidth="1"/>
    <col min="3" max="3" width="18.1640625" bestFit="1" customWidth="1"/>
    <col min="4" max="4" width="30.5" style="2" customWidth="1"/>
    <col min="5" max="5" width="24.83203125" style="2" customWidth="1"/>
    <col min="6" max="6" width="26.33203125" style="30" customWidth="1"/>
    <col min="7" max="7" width="17.6640625" style="30" customWidth="1"/>
    <col min="8" max="8" width="20.6640625" style="18" customWidth="1"/>
    <col min="9" max="9" width="16.6640625" style="11" customWidth="1"/>
    <col min="10" max="10" width="16.33203125" customWidth="1"/>
    <col min="11" max="11" width="10.33203125" customWidth="1"/>
    <col min="12" max="12" width="13.33203125" customWidth="1"/>
    <col min="13" max="13" width="11.33203125" customWidth="1"/>
  </cols>
  <sheetData>
    <row r="1" spans="1:17" s="29" customFormat="1">
      <c r="A1" s="31" t="s">
        <v>66</v>
      </c>
      <c r="B1" s="2"/>
      <c r="C1" s="2"/>
      <c r="D1"/>
      <c r="E1" s="2"/>
      <c r="F1" s="2"/>
      <c r="G1" s="30"/>
      <c r="H1" s="30"/>
      <c r="I1" s="18"/>
      <c r="J1" s="11"/>
    </row>
    <row r="2" spans="1:17" ht="64">
      <c r="A2" s="36" t="s">
        <v>67</v>
      </c>
      <c r="B2" s="36" t="s">
        <v>68</v>
      </c>
      <c r="C2" s="36" t="s">
        <v>69</v>
      </c>
      <c r="D2" s="36" t="s">
        <v>70</v>
      </c>
      <c r="E2" s="36" t="s">
        <v>71</v>
      </c>
      <c r="F2" s="36" t="s">
        <v>72</v>
      </c>
      <c r="G2" s="37" t="s">
        <v>253</v>
      </c>
      <c r="H2" s="37" t="s">
        <v>74</v>
      </c>
      <c r="I2" s="74" t="s">
        <v>75</v>
      </c>
      <c r="J2" s="77" t="s">
        <v>76</v>
      </c>
      <c r="K2" s="38" t="s">
        <v>77</v>
      </c>
      <c r="L2" s="39" t="s">
        <v>78</v>
      </c>
      <c r="M2" s="37" t="s">
        <v>79</v>
      </c>
      <c r="N2" s="37" t="s">
        <v>75</v>
      </c>
      <c r="O2" s="43" t="s">
        <v>76</v>
      </c>
      <c r="Q2" s="46" t="s">
        <v>80</v>
      </c>
    </row>
    <row r="3" spans="1:17" ht="16">
      <c r="A3" s="29">
        <v>1</v>
      </c>
      <c r="B3" s="115">
        <v>44946</v>
      </c>
      <c r="C3" s="29" t="s">
        <v>141</v>
      </c>
      <c r="D3" s="29" t="s">
        <v>94</v>
      </c>
      <c r="E3" s="29" t="s">
        <v>95</v>
      </c>
      <c r="F3" s="29" t="s">
        <v>254</v>
      </c>
      <c r="G3" s="116">
        <v>28</v>
      </c>
      <c r="H3" s="30">
        <f t="shared" ref="H3" si="0">G3*1.60934</f>
        <v>45.061520000000002</v>
      </c>
      <c r="I3" s="75">
        <v>2.7802E-2</v>
      </c>
      <c r="J3" s="76">
        <f>H3*I3*A3</f>
        <v>1.25280037904</v>
      </c>
      <c r="K3" s="83"/>
      <c r="L3" s="84"/>
      <c r="M3" s="116"/>
      <c r="N3" s="116"/>
      <c r="O3" s="117"/>
      <c r="Q3" s="79"/>
    </row>
    <row r="4" spans="1:17">
      <c r="A4" s="2">
        <v>1</v>
      </c>
      <c r="B4" s="28">
        <v>44950</v>
      </c>
      <c r="C4" s="28"/>
      <c r="D4" t="s">
        <v>255</v>
      </c>
      <c r="E4" s="2" t="s">
        <v>256</v>
      </c>
      <c r="F4" s="2" t="s">
        <v>83</v>
      </c>
      <c r="G4" s="30">
        <v>46</v>
      </c>
      <c r="H4" s="30">
        <f>G4*1.60934</f>
        <v>74.029640000000001</v>
      </c>
      <c r="I4" s="75">
        <v>3.5463000000000001E-2</v>
      </c>
      <c r="J4" s="76">
        <f>H4*I4*A4</f>
        <v>2.6253131233200002</v>
      </c>
      <c r="K4" s="18" t="s">
        <v>29</v>
      </c>
      <c r="L4" s="11">
        <v>0</v>
      </c>
      <c r="M4" s="30">
        <v>0</v>
      </c>
      <c r="N4" s="11">
        <v>0</v>
      </c>
      <c r="O4" s="76">
        <f>M4*N4</f>
        <v>0</v>
      </c>
      <c r="Q4" s="78">
        <f>J4+O4</f>
        <v>2.6253131233200002</v>
      </c>
    </row>
    <row r="5" spans="1:17">
      <c r="A5" s="2">
        <v>1</v>
      </c>
      <c r="B5" s="28">
        <v>44950</v>
      </c>
      <c r="C5" s="28" t="s">
        <v>93</v>
      </c>
      <c r="D5" t="s">
        <v>94</v>
      </c>
      <c r="E5" s="2" t="s">
        <v>95</v>
      </c>
      <c r="F5" s="2" t="s">
        <v>256</v>
      </c>
      <c r="G5" s="30">
        <v>34</v>
      </c>
      <c r="H5" s="30">
        <f t="shared" ref="H5" si="1">G5*1.60934</f>
        <v>54.717559999999999</v>
      </c>
      <c r="I5" s="75">
        <v>2.7802E-2</v>
      </c>
      <c r="J5" s="76">
        <f>H5*I5*A5</f>
        <v>1.52125760312</v>
      </c>
      <c r="K5" s="18"/>
      <c r="L5" s="11"/>
      <c r="M5" s="30"/>
      <c r="N5" s="11"/>
      <c r="O5" s="76">
        <f t="shared" ref="O5:O6" si="2">M5*N5</f>
        <v>0</v>
      </c>
      <c r="Q5" s="78">
        <f t="shared" ref="Q5:Q6" si="3">J5+O5</f>
        <v>1.52125760312</v>
      </c>
    </row>
    <row r="6" spans="1:17">
      <c r="A6" s="2">
        <v>1</v>
      </c>
      <c r="B6" s="28">
        <v>44977</v>
      </c>
      <c r="C6" s="28" t="s">
        <v>141</v>
      </c>
      <c r="D6" t="s">
        <v>94</v>
      </c>
      <c r="E6" s="2" t="s">
        <v>95</v>
      </c>
      <c r="F6" s="2" t="s">
        <v>257</v>
      </c>
      <c r="G6" s="30">
        <v>30</v>
      </c>
      <c r="H6" s="30">
        <f t="shared" ref="H6:H9" si="4">G6*1.60934</f>
        <v>48.280200000000001</v>
      </c>
      <c r="I6" s="75">
        <v>2.7802E-2</v>
      </c>
      <c r="J6" s="76">
        <f t="shared" ref="J6" si="5">H6*I6*A6</f>
        <v>1.3422861204000001</v>
      </c>
      <c r="K6" s="18"/>
      <c r="L6" s="11"/>
      <c r="M6" s="30"/>
      <c r="N6" s="11"/>
      <c r="O6" s="76">
        <f t="shared" si="2"/>
        <v>0</v>
      </c>
      <c r="Q6" s="78">
        <f t="shared" si="3"/>
        <v>1.3422861204000001</v>
      </c>
    </row>
    <row r="7" spans="1:17">
      <c r="A7" s="2">
        <v>1</v>
      </c>
      <c r="B7" s="28">
        <v>44985</v>
      </c>
      <c r="C7" s="28" t="s">
        <v>141</v>
      </c>
      <c r="D7" t="s">
        <v>94</v>
      </c>
      <c r="E7" s="2" t="s">
        <v>95</v>
      </c>
      <c r="F7" s="2" t="s">
        <v>258</v>
      </c>
      <c r="G7" s="30">
        <v>30</v>
      </c>
      <c r="H7" s="30">
        <f t="shared" si="4"/>
        <v>48.280200000000001</v>
      </c>
      <c r="I7" s="75">
        <v>2.7802E-2</v>
      </c>
      <c r="J7" s="76">
        <f t="shared" ref="J7:J8" si="6">H7*I7*A7</f>
        <v>1.3422861204000001</v>
      </c>
      <c r="K7" s="18" t="s">
        <v>29</v>
      </c>
      <c r="L7" s="11">
        <v>0</v>
      </c>
      <c r="M7" s="30">
        <v>0</v>
      </c>
      <c r="N7" s="11">
        <v>0</v>
      </c>
      <c r="O7" s="76">
        <f t="shared" ref="O7:O8" si="7">M7*N7</f>
        <v>0</v>
      </c>
      <c r="Q7" s="78">
        <f t="shared" ref="Q7:Q9" si="8">J7+O7</f>
        <v>1.3422861204000001</v>
      </c>
    </row>
    <row r="8" spans="1:17">
      <c r="A8" s="2">
        <v>2</v>
      </c>
      <c r="B8" s="28">
        <v>45056</v>
      </c>
      <c r="C8" s="28"/>
      <c r="D8" t="s">
        <v>91</v>
      </c>
      <c r="E8" s="2" t="s">
        <v>100</v>
      </c>
      <c r="F8" s="2" t="s">
        <v>101</v>
      </c>
      <c r="G8" s="30">
        <v>76</v>
      </c>
      <c r="H8" s="30">
        <f t="shared" si="4"/>
        <v>122.30983999999999</v>
      </c>
      <c r="I8" s="75">
        <v>3.5463000000000001E-2</v>
      </c>
      <c r="J8" s="76">
        <f t="shared" si="6"/>
        <v>8.6749477118399998</v>
      </c>
      <c r="K8" s="18" t="s">
        <v>99</v>
      </c>
      <c r="L8" s="11">
        <f t="shared" ref="L8:L16" si="9">2.2*A8</f>
        <v>4.4000000000000004</v>
      </c>
      <c r="M8" s="30">
        <f t="shared" ref="M8:M25" si="10">L8*1.60934</f>
        <v>7.0810960000000005</v>
      </c>
      <c r="N8" s="11">
        <v>0.20805599999999999</v>
      </c>
      <c r="O8" s="76">
        <f t="shared" si="7"/>
        <v>1.473264509376</v>
      </c>
      <c r="Q8" s="78">
        <f t="shared" si="8"/>
        <v>10.148212221215999</v>
      </c>
    </row>
    <row r="9" spans="1:17">
      <c r="A9" s="2">
        <v>2</v>
      </c>
      <c r="B9" s="28">
        <v>45056</v>
      </c>
      <c r="C9" s="28"/>
      <c r="D9" t="s">
        <v>91</v>
      </c>
      <c r="E9" s="2" t="s">
        <v>97</v>
      </c>
      <c r="F9" s="2" t="s">
        <v>98</v>
      </c>
      <c r="G9" s="30">
        <v>76</v>
      </c>
      <c r="H9" s="30">
        <f t="shared" si="4"/>
        <v>122.30983999999999</v>
      </c>
      <c r="I9" s="75">
        <v>3.5463000000000001E-2</v>
      </c>
      <c r="J9" s="76">
        <f t="shared" ref="J9:J29" si="11">H9*I9*A9</f>
        <v>8.6749477118399998</v>
      </c>
      <c r="K9" s="18" t="s">
        <v>99</v>
      </c>
      <c r="L9" s="11">
        <f t="shared" si="9"/>
        <v>4.4000000000000004</v>
      </c>
      <c r="M9" s="30">
        <f t="shared" si="10"/>
        <v>7.0810960000000005</v>
      </c>
      <c r="N9" s="11">
        <v>0.20805599999999999</v>
      </c>
      <c r="O9" s="76">
        <f t="shared" ref="O9:O25" si="12">M9*N9</f>
        <v>1.473264509376</v>
      </c>
      <c r="Q9" s="78">
        <f t="shared" si="8"/>
        <v>10.148212221215999</v>
      </c>
    </row>
    <row r="10" spans="1:17">
      <c r="A10" s="2">
        <v>2</v>
      </c>
      <c r="B10" s="28">
        <v>45089</v>
      </c>
      <c r="C10" s="28"/>
      <c r="D10" t="s">
        <v>91</v>
      </c>
      <c r="E10" s="2" t="s">
        <v>100</v>
      </c>
      <c r="F10" s="2" t="s">
        <v>101</v>
      </c>
      <c r="G10" s="30">
        <v>76</v>
      </c>
      <c r="H10" s="30">
        <f t="shared" ref="H10:H29" si="13">G10*1.60934</f>
        <v>122.30983999999999</v>
      </c>
      <c r="I10" s="75">
        <v>3.5463000000000001E-2</v>
      </c>
      <c r="J10" s="76">
        <f t="shared" si="11"/>
        <v>8.6749477118399998</v>
      </c>
      <c r="K10" s="18" t="s">
        <v>99</v>
      </c>
      <c r="L10" s="11">
        <f t="shared" si="9"/>
        <v>4.4000000000000004</v>
      </c>
      <c r="M10" s="30">
        <f t="shared" si="10"/>
        <v>7.0810960000000005</v>
      </c>
      <c r="N10" s="11">
        <v>0.20805599999999999</v>
      </c>
      <c r="O10" s="76">
        <f t="shared" si="12"/>
        <v>1.473264509376</v>
      </c>
      <c r="Q10" s="78">
        <f t="shared" ref="Q10:Q29" si="14">J10+O10</f>
        <v>10.148212221215999</v>
      </c>
    </row>
    <row r="11" spans="1:17">
      <c r="A11" s="2">
        <v>2</v>
      </c>
      <c r="B11" s="28">
        <v>45089</v>
      </c>
      <c r="C11" s="28"/>
      <c r="D11" t="s">
        <v>91</v>
      </c>
      <c r="E11" s="2" t="s">
        <v>97</v>
      </c>
      <c r="F11" s="2" t="s">
        <v>98</v>
      </c>
      <c r="G11" s="30">
        <v>76</v>
      </c>
      <c r="H11" s="30">
        <f t="shared" si="13"/>
        <v>122.30983999999999</v>
      </c>
      <c r="I11" s="75">
        <v>3.5463000000000001E-2</v>
      </c>
      <c r="J11" s="76">
        <f t="shared" si="11"/>
        <v>8.6749477118399998</v>
      </c>
      <c r="K11" s="18" t="s">
        <v>99</v>
      </c>
      <c r="L11" s="11">
        <f t="shared" si="9"/>
        <v>4.4000000000000004</v>
      </c>
      <c r="M11" s="30">
        <f t="shared" si="10"/>
        <v>7.0810960000000005</v>
      </c>
      <c r="N11" s="11">
        <v>0.20805599999999999</v>
      </c>
      <c r="O11" s="76">
        <f t="shared" si="12"/>
        <v>1.473264509376</v>
      </c>
      <c r="Q11" s="78">
        <f t="shared" si="14"/>
        <v>10.148212221215999</v>
      </c>
    </row>
    <row r="12" spans="1:17">
      <c r="A12" s="2">
        <v>3</v>
      </c>
      <c r="B12" s="28">
        <v>45092</v>
      </c>
      <c r="C12" s="28"/>
      <c r="D12" t="s">
        <v>91</v>
      </c>
      <c r="E12" s="2" t="s">
        <v>100</v>
      </c>
      <c r="F12" s="2" t="s">
        <v>101</v>
      </c>
      <c r="G12" s="30">
        <v>76</v>
      </c>
      <c r="H12" s="30">
        <f t="shared" si="13"/>
        <v>122.30983999999999</v>
      </c>
      <c r="I12" s="75">
        <v>3.5463000000000001E-2</v>
      </c>
      <c r="J12" s="76">
        <f t="shared" si="11"/>
        <v>13.012421567760001</v>
      </c>
      <c r="K12" s="18" t="s">
        <v>99</v>
      </c>
      <c r="L12" s="11">
        <f t="shared" si="9"/>
        <v>6.6000000000000005</v>
      </c>
      <c r="M12" s="30">
        <f t="shared" si="10"/>
        <v>10.621644000000002</v>
      </c>
      <c r="N12" s="11">
        <v>0.20805599999999999</v>
      </c>
      <c r="O12" s="76">
        <f t="shared" si="12"/>
        <v>2.2098967640640002</v>
      </c>
      <c r="Q12" s="78">
        <f t="shared" si="14"/>
        <v>15.222318331824001</v>
      </c>
    </row>
    <row r="13" spans="1:17">
      <c r="A13" s="2">
        <v>3</v>
      </c>
      <c r="B13" s="28">
        <v>45092</v>
      </c>
      <c r="C13" s="28"/>
      <c r="D13" t="s">
        <v>91</v>
      </c>
      <c r="E13" s="2" t="s">
        <v>97</v>
      </c>
      <c r="F13" s="2" t="s">
        <v>98</v>
      </c>
      <c r="G13" s="30">
        <v>76</v>
      </c>
      <c r="H13" s="30">
        <f t="shared" si="13"/>
        <v>122.30983999999999</v>
      </c>
      <c r="I13" s="75">
        <v>3.5463000000000001E-2</v>
      </c>
      <c r="J13" s="76">
        <f t="shared" si="11"/>
        <v>13.012421567760001</v>
      </c>
      <c r="K13" s="18" t="s">
        <v>99</v>
      </c>
      <c r="L13" s="11">
        <f t="shared" si="9"/>
        <v>6.6000000000000005</v>
      </c>
      <c r="M13" s="30">
        <f t="shared" si="10"/>
        <v>10.621644000000002</v>
      </c>
      <c r="N13" s="11">
        <v>0.20805599999999999</v>
      </c>
      <c r="O13" s="76">
        <f t="shared" si="12"/>
        <v>2.2098967640640002</v>
      </c>
      <c r="Q13" s="78">
        <f t="shared" si="14"/>
        <v>15.222318331824001</v>
      </c>
    </row>
    <row r="14" spans="1:17">
      <c r="A14" s="2">
        <v>2</v>
      </c>
      <c r="B14" s="28">
        <v>45175</v>
      </c>
      <c r="C14" s="28"/>
      <c r="D14" t="s">
        <v>91</v>
      </c>
      <c r="E14" s="2" t="s">
        <v>100</v>
      </c>
      <c r="F14" s="2" t="s">
        <v>101</v>
      </c>
      <c r="G14" s="30">
        <v>76</v>
      </c>
      <c r="H14" s="30">
        <f t="shared" si="13"/>
        <v>122.30983999999999</v>
      </c>
      <c r="I14" s="75">
        <v>3.5463000000000001E-2</v>
      </c>
      <c r="J14" s="76">
        <f t="shared" si="11"/>
        <v>8.6749477118399998</v>
      </c>
      <c r="K14" s="18" t="s">
        <v>99</v>
      </c>
      <c r="L14" s="11">
        <f t="shared" si="9"/>
        <v>4.4000000000000004</v>
      </c>
      <c r="M14" s="30">
        <f t="shared" si="10"/>
        <v>7.0810960000000005</v>
      </c>
      <c r="N14" s="11">
        <v>0.20805599999999999</v>
      </c>
      <c r="O14" s="76">
        <f t="shared" si="12"/>
        <v>1.473264509376</v>
      </c>
      <c r="Q14" s="78">
        <f t="shared" si="14"/>
        <v>10.148212221215999</v>
      </c>
    </row>
    <row r="15" spans="1:17">
      <c r="A15" s="2">
        <v>2</v>
      </c>
      <c r="B15" s="28">
        <v>45175</v>
      </c>
      <c r="C15" s="28"/>
      <c r="D15" t="s">
        <v>91</v>
      </c>
      <c r="E15" s="2" t="s">
        <v>97</v>
      </c>
      <c r="F15" s="2" t="s">
        <v>98</v>
      </c>
      <c r="G15" s="30">
        <v>76</v>
      </c>
      <c r="H15" s="30">
        <f t="shared" si="13"/>
        <v>122.30983999999999</v>
      </c>
      <c r="I15" s="75">
        <v>3.5463000000000001E-2</v>
      </c>
      <c r="J15" s="76">
        <f t="shared" si="11"/>
        <v>8.6749477118399998</v>
      </c>
      <c r="K15" s="18" t="s">
        <v>99</v>
      </c>
      <c r="L15" s="11">
        <f t="shared" si="9"/>
        <v>4.4000000000000004</v>
      </c>
      <c r="M15" s="30">
        <f t="shared" si="10"/>
        <v>7.0810960000000005</v>
      </c>
      <c r="N15" s="11">
        <v>0.20805599999999999</v>
      </c>
      <c r="O15" s="76">
        <f t="shared" si="12"/>
        <v>1.473264509376</v>
      </c>
      <c r="Q15" s="78">
        <f t="shared" si="14"/>
        <v>10.148212221215999</v>
      </c>
    </row>
    <row r="16" spans="1:17">
      <c r="A16" s="2">
        <v>2</v>
      </c>
      <c r="B16" s="28">
        <v>45177</v>
      </c>
      <c r="C16" t="s">
        <v>141</v>
      </c>
      <c r="D16" t="s">
        <v>94</v>
      </c>
      <c r="E16" s="2" t="s">
        <v>95</v>
      </c>
      <c r="F16" s="2" t="s">
        <v>256</v>
      </c>
      <c r="G16" s="30">
        <v>34</v>
      </c>
      <c r="H16" s="30">
        <f t="shared" si="13"/>
        <v>54.717559999999999</v>
      </c>
      <c r="I16" s="75">
        <v>2.7802E-2</v>
      </c>
      <c r="J16" s="76">
        <f t="shared" si="11"/>
        <v>3.04251520624</v>
      </c>
      <c r="K16" s="18" t="s">
        <v>99</v>
      </c>
      <c r="L16" s="11">
        <f t="shared" si="9"/>
        <v>4.4000000000000004</v>
      </c>
      <c r="M16" s="30">
        <f t="shared" si="10"/>
        <v>7.0810960000000005</v>
      </c>
      <c r="N16" s="11">
        <v>0.20805599999999999</v>
      </c>
      <c r="O16" s="76">
        <f t="shared" si="12"/>
        <v>1.473264509376</v>
      </c>
      <c r="Q16" s="78">
        <f t="shared" si="14"/>
        <v>4.5157797156160004</v>
      </c>
    </row>
    <row r="17" spans="1:17">
      <c r="A17" s="2">
        <v>2</v>
      </c>
      <c r="B17" s="28">
        <v>45177</v>
      </c>
      <c r="C17" t="s">
        <v>259</v>
      </c>
      <c r="D17" t="s">
        <v>260</v>
      </c>
      <c r="E17" s="2" t="s">
        <v>100</v>
      </c>
      <c r="F17" s="2" t="s">
        <v>256</v>
      </c>
      <c r="G17" s="30">
        <v>34</v>
      </c>
      <c r="H17" s="30">
        <f t="shared" si="13"/>
        <v>54.717559999999999</v>
      </c>
      <c r="I17" s="75">
        <v>3.5463000000000001E-2</v>
      </c>
      <c r="J17" s="76">
        <f t="shared" si="11"/>
        <v>3.8808976605600001</v>
      </c>
      <c r="K17" s="18" t="s">
        <v>99</v>
      </c>
      <c r="L17" s="11">
        <v>0</v>
      </c>
      <c r="M17" s="30">
        <f t="shared" si="10"/>
        <v>0</v>
      </c>
      <c r="N17" s="11">
        <v>0.20805599999999999</v>
      </c>
      <c r="O17" s="76">
        <f t="shared" si="12"/>
        <v>0</v>
      </c>
      <c r="Q17" s="78">
        <f t="shared" si="14"/>
        <v>3.8808976605600001</v>
      </c>
    </row>
    <row r="18" spans="1:17">
      <c r="A18" s="2">
        <v>1</v>
      </c>
      <c r="B18" s="28">
        <v>45177</v>
      </c>
      <c r="C18" t="s">
        <v>138</v>
      </c>
      <c r="D18" t="s">
        <v>260</v>
      </c>
      <c r="E18" s="2" t="s">
        <v>83</v>
      </c>
      <c r="F18" s="2" t="s">
        <v>256</v>
      </c>
      <c r="G18" s="30">
        <v>46</v>
      </c>
      <c r="H18" s="30">
        <f t="shared" si="13"/>
        <v>74.029640000000001</v>
      </c>
      <c r="I18" s="75">
        <v>3.5463000000000001E-2</v>
      </c>
      <c r="J18" s="76">
        <f t="shared" si="11"/>
        <v>2.6253131233200002</v>
      </c>
      <c r="K18" s="18" t="s">
        <v>99</v>
      </c>
      <c r="L18" s="11">
        <v>0</v>
      </c>
      <c r="M18" s="30">
        <f t="shared" si="10"/>
        <v>0</v>
      </c>
      <c r="N18" s="11">
        <v>0.20805599999999999</v>
      </c>
      <c r="O18" s="76">
        <f t="shared" si="12"/>
        <v>0</v>
      </c>
      <c r="Q18" s="78">
        <f t="shared" si="14"/>
        <v>2.6253131233200002</v>
      </c>
    </row>
    <row r="19" spans="1:17">
      <c r="A19" s="2">
        <v>2</v>
      </c>
      <c r="B19" s="28">
        <v>45177</v>
      </c>
      <c r="C19" t="s">
        <v>185</v>
      </c>
      <c r="D19" t="s">
        <v>260</v>
      </c>
      <c r="E19" s="2" t="s">
        <v>83</v>
      </c>
      <c r="F19" s="2" t="s">
        <v>256</v>
      </c>
      <c r="G19" s="30">
        <v>46</v>
      </c>
      <c r="H19" s="30">
        <f t="shared" si="13"/>
        <v>74.029640000000001</v>
      </c>
      <c r="I19" s="75">
        <v>3.5463000000000001E-2</v>
      </c>
      <c r="J19" s="76">
        <f t="shared" si="11"/>
        <v>5.2506262466400004</v>
      </c>
      <c r="K19" s="18" t="s">
        <v>99</v>
      </c>
      <c r="L19" s="11">
        <v>0</v>
      </c>
      <c r="M19" s="30">
        <f t="shared" si="10"/>
        <v>0</v>
      </c>
      <c r="N19" s="11">
        <v>0.20805599999999999</v>
      </c>
      <c r="O19" s="76">
        <f t="shared" si="12"/>
        <v>0</v>
      </c>
      <c r="Q19" s="78">
        <f t="shared" si="14"/>
        <v>5.2506262466400004</v>
      </c>
    </row>
    <row r="20" spans="1:17">
      <c r="A20" s="2">
        <v>1</v>
      </c>
      <c r="B20" s="28">
        <v>45177</v>
      </c>
      <c r="C20" t="s">
        <v>106</v>
      </c>
      <c r="D20" t="s">
        <v>260</v>
      </c>
      <c r="E20" s="2" t="s">
        <v>261</v>
      </c>
      <c r="F20" s="2" t="s">
        <v>256</v>
      </c>
      <c r="G20" s="30">
        <v>36</v>
      </c>
      <c r="H20" s="30">
        <f t="shared" si="13"/>
        <v>57.936239999999998</v>
      </c>
      <c r="I20" s="75">
        <v>3.5463000000000001E-2</v>
      </c>
      <c r="J20" s="76">
        <f t="shared" si="11"/>
        <v>2.0545928791199999</v>
      </c>
      <c r="K20" s="18" t="s">
        <v>99</v>
      </c>
      <c r="L20" s="11">
        <v>0</v>
      </c>
      <c r="M20" s="30">
        <f t="shared" si="10"/>
        <v>0</v>
      </c>
      <c r="N20" s="11">
        <v>0.20805599999999999</v>
      </c>
      <c r="O20" s="76">
        <f t="shared" si="12"/>
        <v>0</v>
      </c>
      <c r="Q20" s="78">
        <f t="shared" si="14"/>
        <v>2.0545928791199999</v>
      </c>
    </row>
    <row r="21" spans="1:17">
      <c r="A21" s="2">
        <v>2</v>
      </c>
      <c r="B21" s="28">
        <v>45274</v>
      </c>
      <c r="C21" s="28" t="s">
        <v>93</v>
      </c>
      <c r="D21" t="s">
        <v>262</v>
      </c>
      <c r="E21" s="2" t="s">
        <v>95</v>
      </c>
      <c r="F21" s="2" t="s">
        <v>254</v>
      </c>
      <c r="G21" s="30">
        <v>28</v>
      </c>
      <c r="H21" s="30">
        <f t="shared" si="13"/>
        <v>45.061520000000002</v>
      </c>
      <c r="I21" s="75">
        <v>2.7802E-2</v>
      </c>
      <c r="J21" s="76">
        <f t="shared" si="11"/>
        <v>2.5056007580799999</v>
      </c>
      <c r="K21" s="18" t="s">
        <v>99</v>
      </c>
      <c r="L21" s="11">
        <v>0</v>
      </c>
      <c r="M21" s="30">
        <f t="shared" si="10"/>
        <v>0</v>
      </c>
      <c r="N21" s="11">
        <v>0.20805599999999999</v>
      </c>
      <c r="O21" s="76">
        <f t="shared" si="12"/>
        <v>0</v>
      </c>
      <c r="Q21" s="78">
        <f t="shared" si="14"/>
        <v>2.5056007580799999</v>
      </c>
    </row>
    <row r="22" spans="1:17">
      <c r="A22" s="2">
        <v>2</v>
      </c>
      <c r="B22" s="28">
        <v>45274</v>
      </c>
      <c r="C22" s="28" t="s">
        <v>185</v>
      </c>
      <c r="D22" t="s">
        <v>262</v>
      </c>
      <c r="E22" s="2" t="s">
        <v>83</v>
      </c>
      <c r="F22" s="2" t="s">
        <v>254</v>
      </c>
      <c r="G22" s="30">
        <v>44</v>
      </c>
      <c r="H22" s="30">
        <f t="shared" si="13"/>
        <v>70.810959999999994</v>
      </c>
      <c r="I22" s="75">
        <v>3.5463000000000001E-2</v>
      </c>
      <c r="J22" s="76">
        <f t="shared" si="11"/>
        <v>5.0223381489599994</v>
      </c>
      <c r="K22" s="18" t="s">
        <v>99</v>
      </c>
      <c r="L22" s="11">
        <v>0</v>
      </c>
      <c r="M22" s="30">
        <f t="shared" si="10"/>
        <v>0</v>
      </c>
      <c r="N22" s="11">
        <v>0.20805599999999999</v>
      </c>
      <c r="O22" s="76">
        <f t="shared" si="12"/>
        <v>0</v>
      </c>
      <c r="Q22" s="78">
        <f t="shared" si="14"/>
        <v>5.0223381489599994</v>
      </c>
    </row>
    <row r="23" spans="1:17">
      <c r="A23" s="2">
        <v>1</v>
      </c>
      <c r="B23" s="28">
        <v>45274</v>
      </c>
      <c r="C23" s="28" t="s">
        <v>263</v>
      </c>
      <c r="D23" t="s">
        <v>262</v>
      </c>
      <c r="E23" s="2" t="s">
        <v>100</v>
      </c>
      <c r="F23" s="2" t="s">
        <v>254</v>
      </c>
      <c r="G23" s="30">
        <v>30</v>
      </c>
      <c r="H23" s="30">
        <f t="shared" si="13"/>
        <v>48.280200000000001</v>
      </c>
      <c r="I23" s="75">
        <v>2.7802E-2</v>
      </c>
      <c r="J23" s="76">
        <f t="shared" si="11"/>
        <v>1.3422861204000001</v>
      </c>
      <c r="K23" s="18" t="s">
        <v>99</v>
      </c>
      <c r="L23" s="11">
        <v>0</v>
      </c>
      <c r="M23" s="30">
        <f t="shared" si="10"/>
        <v>0</v>
      </c>
      <c r="N23" s="11">
        <v>0.20805599999999999</v>
      </c>
      <c r="O23" s="76">
        <f t="shared" si="12"/>
        <v>0</v>
      </c>
      <c r="Q23" s="78">
        <f t="shared" si="14"/>
        <v>1.3422861204000001</v>
      </c>
    </row>
    <row r="24" spans="1:17">
      <c r="A24" s="2">
        <v>1</v>
      </c>
      <c r="B24" s="28">
        <v>45274</v>
      </c>
      <c r="C24" s="28" t="s">
        <v>264</v>
      </c>
      <c r="D24" t="s">
        <v>262</v>
      </c>
      <c r="E24" s="2" t="s">
        <v>100</v>
      </c>
      <c r="F24" s="2" t="s">
        <v>254</v>
      </c>
      <c r="G24" s="30">
        <v>30</v>
      </c>
      <c r="H24" s="30">
        <f t="shared" si="13"/>
        <v>48.280200000000001</v>
      </c>
      <c r="I24" s="75">
        <v>2.7802E-2</v>
      </c>
      <c r="J24" s="76">
        <f t="shared" si="11"/>
        <v>1.3422861204000001</v>
      </c>
      <c r="K24" s="18" t="s">
        <v>99</v>
      </c>
      <c r="L24" s="11">
        <v>0</v>
      </c>
      <c r="M24" s="30">
        <f t="shared" si="10"/>
        <v>0</v>
      </c>
      <c r="N24" s="11">
        <v>0.20805599999999999</v>
      </c>
      <c r="O24" s="76">
        <f t="shared" si="12"/>
        <v>0</v>
      </c>
      <c r="Q24" s="78">
        <f t="shared" si="14"/>
        <v>1.3422861204000001</v>
      </c>
    </row>
    <row r="25" spans="1:17">
      <c r="A25" s="2">
        <v>1</v>
      </c>
      <c r="B25" s="28">
        <v>45274</v>
      </c>
      <c r="C25" s="28" t="s">
        <v>138</v>
      </c>
      <c r="D25" t="s">
        <v>262</v>
      </c>
      <c r="E25" s="2" t="s">
        <v>83</v>
      </c>
      <c r="F25" s="2" t="s">
        <v>254</v>
      </c>
      <c r="G25" s="30">
        <v>44</v>
      </c>
      <c r="H25" s="30">
        <f t="shared" si="13"/>
        <v>70.810959999999994</v>
      </c>
      <c r="I25" s="75">
        <v>3.5463000000000001E-2</v>
      </c>
      <c r="J25" s="76">
        <f t="shared" si="11"/>
        <v>2.5111690744799997</v>
      </c>
      <c r="K25" s="18" t="s">
        <v>99</v>
      </c>
      <c r="L25" s="11">
        <v>0</v>
      </c>
      <c r="M25" s="30">
        <f t="shared" si="10"/>
        <v>0</v>
      </c>
      <c r="N25" s="11">
        <v>0.20805599999999999</v>
      </c>
      <c r="O25" s="76">
        <f t="shared" si="12"/>
        <v>0</v>
      </c>
      <c r="Q25" s="78">
        <f t="shared" si="14"/>
        <v>2.5111690744799997</v>
      </c>
    </row>
    <row r="26" spans="1:17">
      <c r="A26" s="2">
        <v>1</v>
      </c>
      <c r="B26" s="28">
        <v>44977</v>
      </c>
      <c r="C26" s="28" t="s">
        <v>93</v>
      </c>
      <c r="D26" t="s">
        <v>116</v>
      </c>
      <c r="E26" s="2" t="s">
        <v>95</v>
      </c>
      <c r="F26" s="2" t="s">
        <v>265</v>
      </c>
      <c r="G26" s="30">
        <v>225</v>
      </c>
      <c r="H26" s="30">
        <f t="shared" si="13"/>
        <v>362.10149999999999</v>
      </c>
      <c r="I26" s="75">
        <v>2.7802E-2</v>
      </c>
      <c r="J26" s="76">
        <f t="shared" si="11"/>
        <v>10.067145903</v>
      </c>
      <c r="K26" s="18"/>
      <c r="L26" s="11"/>
      <c r="M26" s="30"/>
      <c r="N26" s="11"/>
      <c r="O26" s="76"/>
      <c r="Q26" s="78">
        <f t="shared" si="14"/>
        <v>10.067145903</v>
      </c>
    </row>
    <row r="27" spans="1:17">
      <c r="A27" s="2">
        <v>1</v>
      </c>
      <c r="B27" s="28">
        <v>45033</v>
      </c>
      <c r="C27" s="28" t="s">
        <v>93</v>
      </c>
      <c r="D27" t="s">
        <v>116</v>
      </c>
      <c r="E27" s="2" t="s">
        <v>95</v>
      </c>
      <c r="F27" s="2" t="s">
        <v>265</v>
      </c>
      <c r="G27" s="30">
        <v>225</v>
      </c>
      <c r="H27" s="30">
        <f t="shared" si="13"/>
        <v>362.10149999999999</v>
      </c>
      <c r="I27" s="75">
        <v>2.7802E-2</v>
      </c>
      <c r="J27" s="76">
        <f t="shared" si="11"/>
        <v>10.067145903</v>
      </c>
      <c r="K27" s="18"/>
      <c r="L27" s="11"/>
      <c r="M27" s="30"/>
      <c r="N27" s="11"/>
      <c r="O27" s="76"/>
      <c r="Q27" s="78">
        <f t="shared" si="14"/>
        <v>10.067145903</v>
      </c>
    </row>
    <row r="28" spans="1:17">
      <c r="A28" s="2">
        <v>1</v>
      </c>
      <c r="B28" s="28">
        <v>45208</v>
      </c>
      <c r="C28" s="28" t="s">
        <v>93</v>
      </c>
      <c r="D28" t="s">
        <v>116</v>
      </c>
      <c r="E28" s="2" t="s">
        <v>95</v>
      </c>
      <c r="F28" s="2" t="s">
        <v>265</v>
      </c>
      <c r="G28" s="30">
        <v>225</v>
      </c>
      <c r="H28" s="30">
        <f t="shared" si="13"/>
        <v>362.10149999999999</v>
      </c>
      <c r="I28" s="75">
        <v>2.7802E-2</v>
      </c>
      <c r="J28" s="76">
        <f t="shared" si="11"/>
        <v>10.067145903</v>
      </c>
      <c r="K28" s="18"/>
      <c r="L28" s="11"/>
      <c r="M28" s="30"/>
      <c r="N28" s="11"/>
      <c r="O28" s="76"/>
      <c r="Q28" s="78">
        <f t="shared" si="14"/>
        <v>10.067145903</v>
      </c>
    </row>
    <row r="29" spans="1:17">
      <c r="A29" s="2">
        <v>1</v>
      </c>
      <c r="B29" s="28">
        <v>45257</v>
      </c>
      <c r="C29" s="28" t="s">
        <v>93</v>
      </c>
      <c r="D29" t="s">
        <v>116</v>
      </c>
      <c r="E29" s="2" t="s">
        <v>95</v>
      </c>
      <c r="F29" s="2" t="s">
        <v>265</v>
      </c>
      <c r="G29" s="30">
        <v>225</v>
      </c>
      <c r="H29" s="30">
        <f t="shared" si="13"/>
        <v>362.10149999999999</v>
      </c>
      <c r="I29" s="75">
        <v>2.7802E-2</v>
      </c>
      <c r="J29" s="76">
        <f t="shared" si="11"/>
        <v>10.067145903</v>
      </c>
      <c r="K29" s="18"/>
      <c r="L29" s="11"/>
      <c r="M29" s="30"/>
      <c r="N29" s="11"/>
      <c r="O29" s="76"/>
      <c r="Q29" s="78">
        <f t="shared" si="14"/>
        <v>10.067145903</v>
      </c>
    </row>
    <row r="30" spans="1:17" s="61" customFormat="1" ht="20" thickBot="1">
      <c r="A30" s="62"/>
      <c r="B30" s="62"/>
      <c r="C30" s="62"/>
      <c r="D30" s="63"/>
      <c r="E30" s="62"/>
      <c r="F30" s="62"/>
      <c r="G30" s="64"/>
      <c r="H30" s="64"/>
      <c r="I30" s="64"/>
      <c r="J30" s="264">
        <f>SUM(J3:J29)</f>
        <v>156.00468170304001</v>
      </c>
      <c r="K30" s="65"/>
      <c r="L30" s="66"/>
      <c r="M30" s="66"/>
      <c r="N30" s="66"/>
      <c r="O30" s="82">
        <f>SUM(O12:O29)</f>
        <v>8.8395870562559988</v>
      </c>
      <c r="P30" s="58"/>
      <c r="Q30" s="263">
        <f t="shared" ref="Q30" si="15">J30+O30</f>
        <v>164.844268759296</v>
      </c>
    </row>
    <row r="31" spans="1:17" ht="16" thickTop="1">
      <c r="H31" s="30"/>
      <c r="I31" s="30"/>
      <c r="J31" s="42"/>
      <c r="K31" s="18"/>
      <c r="L31" s="11"/>
      <c r="M31" s="11"/>
      <c r="N31" s="11"/>
      <c r="O31" s="21"/>
      <c r="Q31" s="21"/>
    </row>
    <row r="32" spans="1:17">
      <c r="B32" s="28"/>
    </row>
    <row r="33" spans="1:12">
      <c r="A33" s="31" t="s">
        <v>120</v>
      </c>
    </row>
    <row r="34" spans="1:12" ht="48">
      <c r="A34" s="32" t="s">
        <v>121</v>
      </c>
      <c r="B34" s="32" t="s">
        <v>122</v>
      </c>
      <c r="C34" s="32" t="s">
        <v>123</v>
      </c>
      <c r="D34" s="32" t="s">
        <v>124</v>
      </c>
      <c r="E34" s="34" t="s">
        <v>125</v>
      </c>
      <c r="F34" s="33" t="s">
        <v>126</v>
      </c>
      <c r="G34" s="33" t="s">
        <v>127</v>
      </c>
      <c r="H34" s="33" t="s">
        <v>128</v>
      </c>
      <c r="I34" s="33" t="s">
        <v>129</v>
      </c>
      <c r="J34" s="35" t="s">
        <v>130</v>
      </c>
      <c r="K34" s="34" t="s">
        <v>75</v>
      </c>
      <c r="L34" s="81" t="s">
        <v>76</v>
      </c>
    </row>
    <row r="35" spans="1:12">
      <c r="A35" s="2">
        <v>1</v>
      </c>
      <c r="B35" s="2" t="s">
        <v>102</v>
      </c>
      <c r="C35" s="28" t="s">
        <v>266</v>
      </c>
      <c r="D35" s="30" t="s">
        <v>133</v>
      </c>
      <c r="E35" s="30">
        <v>1.6</v>
      </c>
      <c r="F35" s="18" t="s">
        <v>267</v>
      </c>
      <c r="G35" s="18"/>
      <c r="I35" s="18" t="s">
        <v>137</v>
      </c>
      <c r="J35" s="113">
        <v>106</v>
      </c>
      <c r="K35" s="11">
        <v>0.28675699999999998</v>
      </c>
      <c r="L35" s="55">
        <f>J35*K35*A35</f>
        <v>30.396241999999997</v>
      </c>
    </row>
    <row r="36" spans="1:12">
      <c r="A36" s="2">
        <v>1</v>
      </c>
      <c r="B36" s="2" t="s">
        <v>152</v>
      </c>
      <c r="C36" s="28" t="s">
        <v>266</v>
      </c>
      <c r="D36" s="30" t="s">
        <v>133</v>
      </c>
      <c r="E36" s="30">
        <v>2</v>
      </c>
      <c r="F36" s="18" t="s">
        <v>267</v>
      </c>
      <c r="G36" s="18"/>
      <c r="I36" s="18" t="s">
        <v>137</v>
      </c>
      <c r="J36" s="113">
        <v>76</v>
      </c>
      <c r="K36" s="11">
        <v>0.28675699999999998</v>
      </c>
      <c r="L36" s="55">
        <f t="shared" ref="L36:L52" si="16">J36*K36*A36</f>
        <v>21.793531999999999</v>
      </c>
    </row>
    <row r="37" spans="1:12">
      <c r="A37" s="2">
        <v>2</v>
      </c>
      <c r="B37" s="2" t="s">
        <v>106</v>
      </c>
      <c r="C37" s="28" t="s">
        <v>153</v>
      </c>
      <c r="D37" s="30" t="s">
        <v>133</v>
      </c>
      <c r="E37" s="30">
        <v>2</v>
      </c>
      <c r="F37" s="18" t="s">
        <v>267</v>
      </c>
      <c r="G37" s="18"/>
      <c r="I37" s="18" t="s">
        <v>137</v>
      </c>
      <c r="J37" s="113">
        <v>75</v>
      </c>
      <c r="K37" s="11">
        <v>0.28675699999999998</v>
      </c>
      <c r="L37" s="55">
        <f t="shared" si="16"/>
        <v>43.013549999999995</v>
      </c>
    </row>
    <row r="38" spans="1:12">
      <c r="A38" s="2">
        <v>1</v>
      </c>
      <c r="B38" s="2" t="s">
        <v>106</v>
      </c>
      <c r="C38" s="2" t="s">
        <v>268</v>
      </c>
      <c r="D38" s="30" t="s">
        <v>133</v>
      </c>
      <c r="E38" s="30">
        <v>2</v>
      </c>
      <c r="F38" s="18" t="s">
        <v>267</v>
      </c>
      <c r="G38" s="18"/>
      <c r="I38" s="18" t="s">
        <v>137</v>
      </c>
      <c r="J38" s="113">
        <v>74</v>
      </c>
      <c r="K38" s="11">
        <v>0.28675699999999998</v>
      </c>
      <c r="L38" s="55">
        <f t="shared" si="16"/>
        <v>21.220018</v>
      </c>
    </row>
    <row r="39" spans="1:12">
      <c r="A39" s="2">
        <v>1</v>
      </c>
      <c r="B39" s="2" t="s">
        <v>106</v>
      </c>
      <c r="C39" s="2" t="s">
        <v>269</v>
      </c>
      <c r="D39" s="30" t="s">
        <v>133</v>
      </c>
      <c r="E39" s="30">
        <v>2</v>
      </c>
      <c r="F39" s="18" t="s">
        <v>267</v>
      </c>
      <c r="G39" s="18"/>
      <c r="I39" s="18" t="s">
        <v>137</v>
      </c>
      <c r="J39" s="113">
        <v>130</v>
      </c>
      <c r="K39" s="11">
        <v>0.28675699999999998</v>
      </c>
      <c r="L39" s="55">
        <f t="shared" si="16"/>
        <v>37.278410000000001</v>
      </c>
    </row>
    <row r="40" spans="1:12">
      <c r="A40" s="2">
        <v>1</v>
      </c>
      <c r="B40" s="2" t="s">
        <v>141</v>
      </c>
      <c r="C40" s="2" t="s">
        <v>270</v>
      </c>
      <c r="D40" s="30" t="s">
        <v>133</v>
      </c>
      <c r="E40" s="30">
        <v>3.8</v>
      </c>
      <c r="F40" s="18" t="s">
        <v>143</v>
      </c>
      <c r="G40" s="18" t="s">
        <v>144</v>
      </c>
      <c r="H40" s="18" t="s">
        <v>271</v>
      </c>
      <c r="I40" s="18" t="s">
        <v>137</v>
      </c>
      <c r="J40" s="113">
        <v>10.78</v>
      </c>
      <c r="K40" s="11">
        <v>0.43811699999999998</v>
      </c>
      <c r="L40" s="55">
        <f t="shared" si="16"/>
        <v>4.7229012599999995</v>
      </c>
    </row>
    <row r="41" spans="1:12">
      <c r="A41" s="2">
        <v>1</v>
      </c>
      <c r="B41" s="2" t="s">
        <v>141</v>
      </c>
      <c r="C41" s="2" t="s">
        <v>272</v>
      </c>
      <c r="D41" s="30" t="s">
        <v>133</v>
      </c>
      <c r="E41" s="30">
        <v>3.8</v>
      </c>
      <c r="F41" s="18" t="s">
        <v>143</v>
      </c>
      <c r="G41" s="18" t="s">
        <v>144</v>
      </c>
      <c r="H41" s="18" t="s">
        <v>271</v>
      </c>
      <c r="I41" s="18" t="s">
        <v>137</v>
      </c>
      <c r="J41" s="113">
        <v>10.78</v>
      </c>
      <c r="K41" s="11">
        <v>0.43811699999999998</v>
      </c>
      <c r="L41" s="55">
        <f t="shared" si="16"/>
        <v>4.7229012599999995</v>
      </c>
    </row>
    <row r="42" spans="1:12">
      <c r="A42" s="2">
        <v>1</v>
      </c>
      <c r="B42" s="2" t="s">
        <v>141</v>
      </c>
      <c r="C42" s="2" t="s">
        <v>273</v>
      </c>
      <c r="D42" s="30" t="s">
        <v>133</v>
      </c>
      <c r="E42" s="30">
        <v>3.8</v>
      </c>
      <c r="F42" s="18" t="s">
        <v>143</v>
      </c>
      <c r="G42" s="18" t="s">
        <v>144</v>
      </c>
      <c r="H42" s="18" t="s">
        <v>271</v>
      </c>
      <c r="I42" s="18" t="s">
        <v>137</v>
      </c>
      <c r="J42" s="113">
        <v>10.78</v>
      </c>
      <c r="K42" s="11">
        <v>0.43811699999999998</v>
      </c>
      <c r="L42" s="55">
        <f t="shared" si="16"/>
        <v>4.7229012599999995</v>
      </c>
    </row>
    <row r="43" spans="1:12">
      <c r="A43" s="2">
        <v>1</v>
      </c>
      <c r="B43" s="2" t="s">
        <v>141</v>
      </c>
      <c r="C43" s="2" t="s">
        <v>274</v>
      </c>
      <c r="D43" s="30" t="s">
        <v>133</v>
      </c>
      <c r="E43" s="30">
        <v>3.8</v>
      </c>
      <c r="F43" s="18" t="s">
        <v>143</v>
      </c>
      <c r="G43" s="18" t="s">
        <v>144</v>
      </c>
      <c r="H43" s="18" t="s">
        <v>271</v>
      </c>
      <c r="I43" s="18" t="s">
        <v>137</v>
      </c>
      <c r="J43" s="113">
        <v>10.78</v>
      </c>
      <c r="K43" s="11">
        <v>0.43811699999999998</v>
      </c>
      <c r="L43" s="55">
        <f t="shared" si="16"/>
        <v>4.7229012599999995</v>
      </c>
    </row>
    <row r="44" spans="1:12">
      <c r="A44" s="2">
        <v>1</v>
      </c>
      <c r="B44" s="2" t="s">
        <v>141</v>
      </c>
      <c r="C44" s="2" t="s">
        <v>275</v>
      </c>
      <c r="D44" s="30" t="s">
        <v>133</v>
      </c>
      <c r="E44" s="30">
        <v>3.8</v>
      </c>
      <c r="F44" s="18" t="s">
        <v>143</v>
      </c>
      <c r="G44" s="18" t="s">
        <v>144</v>
      </c>
      <c r="H44" s="18" t="s">
        <v>271</v>
      </c>
      <c r="I44" s="18" t="s">
        <v>137</v>
      </c>
      <c r="J44" s="113">
        <v>10.78</v>
      </c>
      <c r="K44" s="11">
        <v>0.43811699999999998</v>
      </c>
      <c r="L44" s="55">
        <f t="shared" si="16"/>
        <v>4.7229012599999995</v>
      </c>
    </row>
    <row r="45" spans="1:12">
      <c r="A45" s="2">
        <v>1</v>
      </c>
      <c r="B45" s="2" t="s">
        <v>141</v>
      </c>
      <c r="C45" s="2" t="s">
        <v>276</v>
      </c>
      <c r="D45" s="30" t="s">
        <v>133</v>
      </c>
      <c r="E45" s="30">
        <v>3.8</v>
      </c>
      <c r="F45" s="18" t="s">
        <v>143</v>
      </c>
      <c r="G45" s="18" t="s">
        <v>144</v>
      </c>
      <c r="H45" s="18" t="s">
        <v>277</v>
      </c>
      <c r="I45" s="18" t="s">
        <v>137</v>
      </c>
      <c r="J45" s="113">
        <v>131</v>
      </c>
      <c r="K45" s="11">
        <v>0.43811699999999998</v>
      </c>
      <c r="L45" s="55">
        <f t="shared" ref="L45" si="17">J45*K45*A45</f>
        <v>57.393326999999999</v>
      </c>
    </row>
    <row r="46" spans="1:12">
      <c r="A46" s="2">
        <v>1</v>
      </c>
      <c r="B46" s="2" t="s">
        <v>141</v>
      </c>
      <c r="C46" s="2" t="s">
        <v>278</v>
      </c>
      <c r="D46" s="30" t="s">
        <v>133</v>
      </c>
      <c r="E46" s="30">
        <v>3.8</v>
      </c>
      <c r="F46" s="18" t="s">
        <v>143</v>
      </c>
      <c r="G46" s="18" t="s">
        <v>144</v>
      </c>
      <c r="H46" s="18" t="s">
        <v>279</v>
      </c>
      <c r="I46" s="18" t="s">
        <v>137</v>
      </c>
      <c r="J46" s="113">
        <v>140.6</v>
      </c>
      <c r="K46" s="11">
        <v>0.43811699999999998</v>
      </c>
      <c r="L46" s="55">
        <f t="shared" ref="L46" si="18">J46*K46*A46</f>
        <v>61.599250199999993</v>
      </c>
    </row>
    <row r="47" spans="1:12">
      <c r="A47" s="2">
        <v>1</v>
      </c>
      <c r="B47" s="2" t="s">
        <v>141</v>
      </c>
      <c r="C47" s="2" t="s">
        <v>280</v>
      </c>
      <c r="D47" s="30" t="s">
        <v>133</v>
      </c>
      <c r="E47" s="30">
        <v>3.8</v>
      </c>
      <c r="F47" s="18" t="s">
        <v>143</v>
      </c>
      <c r="G47" s="18" t="s">
        <v>144</v>
      </c>
      <c r="H47" s="18" t="s">
        <v>271</v>
      </c>
      <c r="I47" s="18" t="s">
        <v>137</v>
      </c>
      <c r="J47" s="113">
        <v>10.78</v>
      </c>
      <c r="K47" s="11">
        <v>0.43811699999999998</v>
      </c>
      <c r="L47" s="55">
        <f t="shared" si="16"/>
        <v>4.7229012599999995</v>
      </c>
    </row>
    <row r="48" spans="1:12">
      <c r="A48" s="2">
        <v>1</v>
      </c>
      <c r="B48" s="2" t="s">
        <v>141</v>
      </c>
      <c r="C48" s="2" t="s">
        <v>281</v>
      </c>
      <c r="D48" s="30" t="s">
        <v>133</v>
      </c>
      <c r="E48" s="30">
        <v>3.8</v>
      </c>
      <c r="F48" s="18" t="s">
        <v>143</v>
      </c>
      <c r="G48" s="18" t="s">
        <v>144</v>
      </c>
      <c r="H48" s="18" t="s">
        <v>271</v>
      </c>
      <c r="I48" s="18" t="s">
        <v>137</v>
      </c>
      <c r="J48" s="113">
        <v>10.78</v>
      </c>
      <c r="K48" s="11">
        <v>0.43811699999999998</v>
      </c>
      <c r="L48" s="55">
        <f t="shared" si="16"/>
        <v>4.7229012599999995</v>
      </c>
    </row>
    <row r="49" spans="1:17">
      <c r="A49" s="2">
        <v>1</v>
      </c>
      <c r="B49" s="2" t="s">
        <v>141</v>
      </c>
      <c r="C49" s="2" t="s">
        <v>282</v>
      </c>
      <c r="D49" s="30" t="s">
        <v>133</v>
      </c>
      <c r="E49" s="30">
        <v>3.8</v>
      </c>
      <c r="F49" s="18" t="s">
        <v>143</v>
      </c>
      <c r="G49" s="18" t="s">
        <v>144</v>
      </c>
      <c r="H49" s="18" t="s">
        <v>271</v>
      </c>
      <c r="I49" s="18" t="s">
        <v>137</v>
      </c>
      <c r="J49" s="113">
        <v>10.78</v>
      </c>
      <c r="K49" s="11">
        <v>0.43811699999999998</v>
      </c>
      <c r="L49" s="55">
        <f t="shared" si="16"/>
        <v>4.7229012599999995</v>
      </c>
    </row>
    <row r="50" spans="1:17">
      <c r="A50" s="2">
        <v>1</v>
      </c>
      <c r="B50" s="2" t="s">
        <v>141</v>
      </c>
      <c r="C50" s="2" t="s">
        <v>283</v>
      </c>
      <c r="D50" s="30" t="s">
        <v>133</v>
      </c>
      <c r="E50" s="30">
        <v>3.8</v>
      </c>
      <c r="F50" s="18" t="s">
        <v>143</v>
      </c>
      <c r="G50" s="18" t="s">
        <v>144</v>
      </c>
      <c r="H50" s="18" t="s">
        <v>271</v>
      </c>
      <c r="I50" s="18" t="s">
        <v>137</v>
      </c>
      <c r="J50" s="113">
        <v>10.78</v>
      </c>
      <c r="K50" s="11">
        <v>0.43811699999999998</v>
      </c>
      <c r="L50" s="55">
        <f t="shared" si="16"/>
        <v>4.7229012599999995</v>
      </c>
    </row>
    <row r="51" spans="1:17">
      <c r="A51" s="2">
        <v>1</v>
      </c>
      <c r="B51" s="28" t="s">
        <v>164</v>
      </c>
      <c r="C51" s="28" t="s">
        <v>284</v>
      </c>
      <c r="D51" s="113" t="s">
        <v>133</v>
      </c>
      <c r="E51" s="18">
        <v>1.6</v>
      </c>
      <c r="F51" s="113" t="s">
        <v>267</v>
      </c>
      <c r="G51" s="30" t="s">
        <v>165</v>
      </c>
      <c r="H51" s="2" t="s">
        <v>254</v>
      </c>
      <c r="I51" s="75" t="s">
        <v>137</v>
      </c>
      <c r="J51" s="143">
        <v>71.56</v>
      </c>
      <c r="K51" s="18">
        <v>0.28675699999999998</v>
      </c>
      <c r="L51" s="55">
        <f t="shared" si="16"/>
        <v>20.520330919999999</v>
      </c>
      <c r="M51" s="30"/>
      <c r="N51" s="11"/>
      <c r="O51" s="73"/>
      <c r="Q51" s="129"/>
    </row>
    <row r="52" spans="1:17" s="61" customFormat="1" ht="16" thickBot="1">
      <c r="A52" s="114">
        <v>1</v>
      </c>
      <c r="B52" s="56" t="s">
        <v>141</v>
      </c>
      <c r="C52" s="57" t="s">
        <v>178</v>
      </c>
      <c r="D52" s="65" t="s">
        <v>133</v>
      </c>
      <c r="E52" s="65">
        <v>3.8</v>
      </c>
      <c r="F52" s="65" t="s">
        <v>143</v>
      </c>
      <c r="G52" s="56"/>
      <c r="H52" s="56"/>
      <c r="I52" s="56"/>
      <c r="J52" s="191">
        <v>180</v>
      </c>
      <c r="K52" s="51">
        <v>0.44447999999999999</v>
      </c>
      <c r="L52" s="192">
        <f t="shared" si="16"/>
        <v>80.006399999999999</v>
      </c>
      <c r="M52" s="60"/>
    </row>
    <row r="53" spans="1:17" ht="16" thickTop="1">
      <c r="C53" s="2"/>
      <c r="H53" s="30"/>
      <c r="I53" s="30"/>
      <c r="J53" s="30"/>
      <c r="K53" s="18"/>
      <c r="L53" s="11"/>
    </row>
    <row r="54" spans="1:17" s="61" customFormat="1" ht="20" thickBot="1">
      <c r="A54" s="114"/>
      <c r="B54" s="56"/>
      <c r="C54" s="57"/>
      <c r="D54" s="58"/>
      <c r="E54" s="56"/>
      <c r="F54" s="56"/>
      <c r="G54" s="56"/>
      <c r="H54" s="56"/>
      <c r="I54" s="58"/>
      <c r="J54" s="56"/>
      <c r="K54" s="59"/>
      <c r="L54" s="181">
        <f>SUM(L35:L53)</f>
        <v>415.72717145999997</v>
      </c>
      <c r="M54" s="60"/>
    </row>
    <row r="55" spans="1:17" ht="16" thickTop="1">
      <c r="C55" s="2"/>
      <c r="D55"/>
      <c r="F55" s="2"/>
      <c r="H55" s="40" t="s">
        <v>105</v>
      </c>
      <c r="I55" s="18"/>
      <c r="J55" s="11"/>
    </row>
    <row r="56" spans="1:17">
      <c r="A56" s="31" t="s">
        <v>99</v>
      </c>
      <c r="C56" s="2"/>
      <c r="G56" s="40"/>
    </row>
    <row r="57" spans="1:17" ht="48">
      <c r="A57" s="119" t="s">
        <v>179</v>
      </c>
      <c r="B57" s="119" t="s">
        <v>122</v>
      </c>
      <c r="C57" s="119" t="s">
        <v>180</v>
      </c>
      <c r="D57" s="119" t="s">
        <v>181</v>
      </c>
      <c r="E57" s="119" t="s">
        <v>182</v>
      </c>
      <c r="F57" s="35" t="s">
        <v>285</v>
      </c>
      <c r="G57" s="34" t="s">
        <v>79</v>
      </c>
      <c r="H57" s="34" t="s">
        <v>75</v>
      </c>
      <c r="I57" s="81" t="s">
        <v>76</v>
      </c>
      <c r="J57" s="120"/>
      <c r="K57" s="121" t="s">
        <v>80</v>
      </c>
    </row>
    <row r="58" spans="1:17">
      <c r="A58" s="2">
        <v>1</v>
      </c>
      <c r="B58" s="2" t="s">
        <v>93</v>
      </c>
      <c r="C58" s="28" t="s">
        <v>286</v>
      </c>
      <c r="D58" s="85" t="s">
        <v>189</v>
      </c>
      <c r="E58" s="124">
        <v>8.6</v>
      </c>
      <c r="F58" s="84">
        <v>3.4</v>
      </c>
      <c r="G58" s="30">
        <f t="shared" ref="G58:G61" si="19">F58*1.60934</f>
        <v>5.4717560000000001</v>
      </c>
      <c r="H58" s="136">
        <v>0.20805599999999999</v>
      </c>
      <c r="I58" s="134">
        <f>G58*H58</f>
        <v>1.1384316663359999</v>
      </c>
      <c r="K58" s="134">
        <f>I58*A58</f>
        <v>1.1384316663359999</v>
      </c>
    </row>
    <row r="59" spans="1:17">
      <c r="A59" s="2">
        <v>1</v>
      </c>
      <c r="B59" s="2" t="s">
        <v>93</v>
      </c>
      <c r="C59" s="28" t="s">
        <v>287</v>
      </c>
      <c r="D59" s="85" t="s">
        <v>189</v>
      </c>
      <c r="E59" s="124">
        <v>9.1999999999999993</v>
      </c>
      <c r="F59" s="84">
        <v>3.6</v>
      </c>
      <c r="G59" s="30">
        <f t="shared" si="19"/>
        <v>5.7936240000000003</v>
      </c>
      <c r="H59" s="136">
        <v>0.20805599999999999</v>
      </c>
      <c r="I59" s="134">
        <f t="shared" ref="I59:I61" si="20">G59*H59</f>
        <v>1.205398234944</v>
      </c>
      <c r="K59" s="134">
        <f t="shared" ref="K59:K61" si="21">I59*A59</f>
        <v>1.205398234944</v>
      </c>
    </row>
    <row r="60" spans="1:17">
      <c r="A60" s="2">
        <v>1</v>
      </c>
      <c r="B60" s="2" t="s">
        <v>93</v>
      </c>
      <c r="C60" s="28" t="s">
        <v>274</v>
      </c>
      <c r="D60" s="85" t="s">
        <v>189</v>
      </c>
      <c r="E60" s="124">
        <v>16.54</v>
      </c>
      <c r="F60" s="39">
        <v>66</v>
      </c>
      <c r="G60" s="30">
        <f t="shared" si="19"/>
        <v>106.21644000000001</v>
      </c>
      <c r="H60" s="136">
        <v>0.20805599999999999</v>
      </c>
      <c r="I60" s="134">
        <f t="shared" si="20"/>
        <v>22.098967640640002</v>
      </c>
      <c r="K60" s="134">
        <f t="shared" si="21"/>
        <v>22.098967640640002</v>
      </c>
    </row>
    <row r="61" spans="1:17">
      <c r="A61" s="2">
        <v>1</v>
      </c>
      <c r="B61" s="2" t="s">
        <v>93</v>
      </c>
      <c r="C61" s="28" t="s">
        <v>288</v>
      </c>
      <c r="D61" s="85" t="s">
        <v>189</v>
      </c>
      <c r="E61" s="124">
        <v>8.77</v>
      </c>
      <c r="F61" s="84">
        <v>2.9</v>
      </c>
      <c r="G61" s="30">
        <f t="shared" si="19"/>
        <v>4.6670859999999994</v>
      </c>
      <c r="H61" s="136">
        <v>0.20805599999999999</v>
      </c>
      <c r="I61" s="134">
        <f t="shared" si="20"/>
        <v>0.97101524481599988</v>
      </c>
      <c r="K61" s="134">
        <f t="shared" si="21"/>
        <v>0.97101524481599988</v>
      </c>
    </row>
    <row r="62" spans="1:17">
      <c r="C62" s="28"/>
      <c r="D62" s="85"/>
      <c r="E62" s="30"/>
      <c r="F62" s="18"/>
      <c r="G62" s="11"/>
      <c r="H62" s="88"/>
      <c r="I62" s="55"/>
      <c r="K62" s="21"/>
    </row>
    <row r="63" spans="1:17" ht="16" thickBot="1">
      <c r="A63" s="114"/>
      <c r="B63" s="114"/>
      <c r="C63" s="114"/>
      <c r="D63" s="114"/>
      <c r="E63" s="114"/>
      <c r="F63" s="52" t="s">
        <v>105</v>
      </c>
      <c r="G63" s="122" t="s">
        <v>105</v>
      </c>
      <c r="H63" s="52" t="s">
        <v>105</v>
      </c>
      <c r="I63" s="123">
        <f>SUM(I58:I62)</f>
        <v>25.413812786736003</v>
      </c>
      <c r="J63" s="54"/>
      <c r="K63" s="86">
        <f>SUM(K58:K62)</f>
        <v>25.413812786736003</v>
      </c>
    </row>
    <row r="64" spans="1:17" ht="16" thickTop="1">
      <c r="C64" s="2"/>
      <c r="G64" s="40"/>
      <c r="I64" s="73">
        <f>SUM(I63,O30)</f>
        <v>34.253399842992003</v>
      </c>
      <c r="K64" s="189">
        <f>SUM(K63,O30)</f>
        <v>34.253399842992003</v>
      </c>
    </row>
    <row r="65" spans="1:16">
      <c r="C65" s="2"/>
      <c r="G65" s="40"/>
    </row>
    <row r="66" spans="1:16">
      <c r="A66" s="31" t="s">
        <v>193</v>
      </c>
      <c r="C66" s="2"/>
      <c r="G66" s="40"/>
    </row>
    <row r="67" spans="1:16" ht="16">
      <c r="A67" s="125" t="s">
        <v>69</v>
      </c>
      <c r="B67" s="125" t="s">
        <v>123</v>
      </c>
      <c r="C67" s="125" t="s">
        <v>194</v>
      </c>
      <c r="D67" s="125" t="s">
        <v>182</v>
      </c>
      <c r="E67" s="125" t="s">
        <v>289</v>
      </c>
      <c r="F67" s="34" t="s">
        <v>75</v>
      </c>
      <c r="G67" s="138" t="s">
        <v>196</v>
      </c>
    </row>
    <row r="68" spans="1:16">
      <c r="C68" s="2"/>
      <c r="F68" s="113">
        <v>0.24587000000000001</v>
      </c>
      <c r="G68" s="42">
        <f>E68*F68</f>
        <v>0</v>
      </c>
    </row>
    <row r="69" spans="1:16">
      <c r="C69" s="2"/>
      <c r="F69" s="113">
        <v>0.24587000000000001</v>
      </c>
      <c r="G69" s="42">
        <f>E69*F69</f>
        <v>0</v>
      </c>
    </row>
    <row r="70" spans="1:16">
      <c r="C70" s="2"/>
      <c r="F70" s="139" t="s">
        <v>201</v>
      </c>
      <c r="G70" s="185">
        <f>SUM(G68:G69)</f>
        <v>0</v>
      </c>
    </row>
    <row r="71" spans="1:16">
      <c r="A71" s="31" t="s">
        <v>202</v>
      </c>
      <c r="C71" s="2"/>
      <c r="G71" s="40"/>
    </row>
    <row r="72" spans="1:16" ht="16">
      <c r="A72" s="125" t="s">
        <v>69</v>
      </c>
      <c r="B72" s="125" t="s">
        <v>123</v>
      </c>
      <c r="C72" s="125" t="s">
        <v>203</v>
      </c>
      <c r="D72" s="34" t="s">
        <v>204</v>
      </c>
      <c r="E72" s="137" t="s">
        <v>80</v>
      </c>
    </row>
    <row r="73" spans="1:16">
      <c r="A73" s="2" t="s">
        <v>93</v>
      </c>
      <c r="B73" s="118">
        <v>44986</v>
      </c>
      <c r="C73" s="2">
        <v>1</v>
      </c>
      <c r="D73" s="18">
        <v>11.5</v>
      </c>
      <c r="E73" s="80">
        <f>D73*C73</f>
        <v>11.5</v>
      </c>
    </row>
    <row r="74" spans="1:16" s="69" customFormat="1" ht="19">
      <c r="A74" s="2"/>
      <c r="B74" s="2"/>
      <c r="C74" s="2"/>
      <c r="D74" s="60" t="s">
        <v>207</v>
      </c>
      <c r="E74" s="186">
        <f>SUM(E73)</f>
        <v>11.5</v>
      </c>
      <c r="F74" s="70"/>
      <c r="G74" s="70"/>
      <c r="H74" s="71"/>
      <c r="I74" s="72"/>
    </row>
    <row r="75" spans="1:16">
      <c r="C75" s="2"/>
      <c r="H75" s="30"/>
      <c r="I75" s="73"/>
      <c r="J75" s="18"/>
      <c r="K75" s="11"/>
      <c r="L75" s="11"/>
      <c r="M75" s="11"/>
      <c r="P75" s="18"/>
    </row>
    <row r="76" spans="1:16">
      <c r="C76" s="2" t="s">
        <v>290</v>
      </c>
      <c r="D76"/>
      <c r="F76" s="2"/>
      <c r="H76" s="30"/>
      <c r="I76" s="18"/>
      <c r="J76" s="11"/>
    </row>
    <row r="77" spans="1:16">
      <c r="C77" s="2"/>
      <c r="D77"/>
      <c r="F77" s="2"/>
      <c r="H77" s="30"/>
      <c r="I77" s="18"/>
      <c r="J77" s="11"/>
    </row>
    <row r="78" spans="1:16" s="69" customFormat="1" ht="19">
      <c r="A78" s="68" t="s">
        <v>291</v>
      </c>
      <c r="B78" s="68"/>
      <c r="D78" s="190">
        <f>SUM(E74,G70,K64,L54,Q30)</f>
        <v>626.32484006228799</v>
      </c>
      <c r="E78" s="68"/>
      <c r="F78" s="70"/>
      <c r="G78" s="70"/>
      <c r="H78" s="71"/>
      <c r="I78" s="72"/>
    </row>
    <row r="80" spans="1:16" ht="26">
      <c r="A80" s="175" t="s">
        <v>292</v>
      </c>
      <c r="B80" s="175"/>
      <c r="C80" s="175"/>
      <c r="D80" s="175"/>
      <c r="E80" s="176"/>
    </row>
  </sheetData>
  <sortState xmlns:xlrd2="http://schemas.microsoft.com/office/spreadsheetml/2017/richdata2" ref="B35:M53">
    <sortCondition ref="E35:E5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09A37-E98B-4D60-A75A-FA230D038CC0}">
  <dimension ref="A1:Q36"/>
  <sheetViews>
    <sheetView workbookViewId="0">
      <pane ySplit="1" topLeftCell="A2" activePane="bottomLeft" state="frozen"/>
      <selection activeCell="D85" sqref="D85"/>
      <selection pane="bottomLeft" activeCell="D85" sqref="D85"/>
    </sheetView>
  </sheetViews>
  <sheetFormatPr baseColWidth="10" defaultColWidth="8.83203125" defaultRowHeight="15"/>
  <cols>
    <col min="1" max="1" width="16.1640625" bestFit="1" customWidth="1"/>
    <col min="2" max="2" width="11.5" style="2" customWidth="1"/>
    <col min="3" max="3" width="10.5" style="2" bestFit="1" customWidth="1"/>
    <col min="4" max="4" width="18.1640625" bestFit="1" customWidth="1"/>
    <col min="5" max="5" width="9.1640625" style="18" customWidth="1"/>
    <col min="7" max="7" width="10.33203125" style="30" bestFit="1" customWidth="1"/>
    <col min="8" max="8" width="8.83203125" style="18"/>
    <col min="9" max="9" width="10" style="11" customWidth="1"/>
    <col min="10" max="10" width="18.33203125" style="11" customWidth="1"/>
    <col min="11" max="11" width="11.5" customWidth="1"/>
    <col min="12" max="12" width="10.33203125" customWidth="1"/>
    <col min="14" max="14" width="16.6640625" customWidth="1"/>
  </cols>
  <sheetData>
    <row r="1" spans="1:17" ht="208">
      <c r="A1" s="32" t="s">
        <v>122</v>
      </c>
      <c r="B1" s="32" t="s">
        <v>210</v>
      </c>
      <c r="C1" s="32" t="s">
        <v>211</v>
      </c>
      <c r="D1" s="32" t="s">
        <v>212</v>
      </c>
      <c r="E1" s="33" t="s">
        <v>213</v>
      </c>
      <c r="F1" s="32" t="s">
        <v>124</v>
      </c>
      <c r="G1" s="34" t="s">
        <v>125</v>
      </c>
      <c r="H1" s="33" t="s">
        <v>126</v>
      </c>
      <c r="I1" s="35" t="s">
        <v>293</v>
      </c>
      <c r="J1" s="35" t="s">
        <v>215</v>
      </c>
      <c r="K1" s="35" t="s">
        <v>216</v>
      </c>
      <c r="L1" s="90" t="s">
        <v>217</v>
      </c>
      <c r="M1" s="35" t="s">
        <v>294</v>
      </c>
      <c r="N1" s="35" t="s">
        <v>219</v>
      </c>
      <c r="O1" s="90" t="s">
        <v>220</v>
      </c>
      <c r="P1" s="89"/>
      <c r="Q1" s="91" t="s">
        <v>76</v>
      </c>
    </row>
    <row r="2" spans="1:17">
      <c r="A2" t="s">
        <v>228</v>
      </c>
      <c r="B2" s="2" t="s">
        <v>222</v>
      </c>
      <c r="D2" t="s">
        <v>223</v>
      </c>
      <c r="E2" s="18">
        <v>3</v>
      </c>
      <c r="F2" t="s">
        <v>133</v>
      </c>
      <c r="G2" s="30">
        <v>1.8</v>
      </c>
      <c r="H2" s="18" t="s">
        <v>224</v>
      </c>
      <c r="I2" s="11">
        <f>SUM(16*3)*23.2</f>
        <v>1113.5999999999999</v>
      </c>
      <c r="K2" s="11">
        <v>0.29724</v>
      </c>
      <c r="L2" s="23">
        <f t="shared" ref="L2:L8" si="0">I2*K2</f>
        <v>331.00646399999999</v>
      </c>
      <c r="M2" s="11">
        <v>780.00000000000011</v>
      </c>
      <c r="N2" s="11">
        <v>0.34075</v>
      </c>
      <c r="O2" s="23">
        <f t="shared" ref="O2:O15" si="1">M2*N2</f>
        <v>265.78500000000003</v>
      </c>
      <c r="P2" s="11"/>
      <c r="Q2" s="92">
        <f t="shared" ref="Q2:Q15" si="2">L2+O2</f>
        <v>596.79146400000002</v>
      </c>
    </row>
    <row r="3" spans="1:17">
      <c r="A3" t="s">
        <v>225</v>
      </c>
      <c r="B3" s="28">
        <v>44767</v>
      </c>
      <c r="C3" s="28">
        <v>45177</v>
      </c>
      <c r="D3" t="s">
        <v>223</v>
      </c>
      <c r="E3" s="18">
        <v>3</v>
      </c>
      <c r="F3" t="s">
        <v>133</v>
      </c>
      <c r="G3" s="30">
        <v>1.6</v>
      </c>
      <c r="H3" s="18" t="s">
        <v>224</v>
      </c>
      <c r="I3" s="11">
        <f>SUM(15*3)*23.2*44%</f>
        <v>459.36</v>
      </c>
      <c r="K3" s="11">
        <v>0.29724</v>
      </c>
      <c r="L3" s="23">
        <f t="shared" si="0"/>
        <v>136.5401664</v>
      </c>
      <c r="M3" s="11">
        <v>780.00000000000011</v>
      </c>
      <c r="N3" s="11">
        <v>0.34075</v>
      </c>
      <c r="O3" s="23">
        <f t="shared" si="1"/>
        <v>265.78500000000003</v>
      </c>
      <c r="P3" s="11"/>
      <c r="Q3" s="92">
        <f t="shared" si="2"/>
        <v>402.32516640000006</v>
      </c>
    </row>
    <row r="4" spans="1:17">
      <c r="A4" t="s">
        <v>230</v>
      </c>
      <c r="B4" s="2" t="s">
        <v>222</v>
      </c>
      <c r="C4" s="2" t="s">
        <v>189</v>
      </c>
      <c r="D4" t="s">
        <v>223</v>
      </c>
      <c r="E4" s="18">
        <v>3</v>
      </c>
      <c r="F4" t="s">
        <v>133</v>
      </c>
      <c r="G4" s="30">
        <v>2</v>
      </c>
      <c r="H4" s="18" t="s">
        <v>224</v>
      </c>
      <c r="I4" s="11">
        <f>SUM(20*3)*23.2</f>
        <v>1392</v>
      </c>
      <c r="K4" s="11">
        <v>0.29724</v>
      </c>
      <c r="L4" s="23">
        <f t="shared" si="0"/>
        <v>413.75808000000001</v>
      </c>
      <c r="M4" s="11">
        <v>780.00000000000011</v>
      </c>
      <c r="N4" s="11">
        <v>0.34075</v>
      </c>
      <c r="O4" s="23">
        <f t="shared" si="1"/>
        <v>265.78500000000003</v>
      </c>
      <c r="P4" s="11"/>
      <c r="Q4" s="92">
        <f t="shared" si="2"/>
        <v>679.54308000000003</v>
      </c>
    </row>
    <row r="5" spans="1:17">
      <c r="A5" t="s">
        <v>231</v>
      </c>
      <c r="B5" s="2" t="s">
        <v>222</v>
      </c>
      <c r="C5" s="28">
        <v>45296</v>
      </c>
      <c r="D5" t="s">
        <v>223</v>
      </c>
      <c r="E5" s="18">
        <v>3</v>
      </c>
      <c r="F5" t="s">
        <v>133</v>
      </c>
      <c r="G5" s="30">
        <v>1.6</v>
      </c>
      <c r="H5" s="18" t="s">
        <v>224</v>
      </c>
      <c r="I5" s="11">
        <f>SUM(40*3)*23.2</f>
        <v>2784</v>
      </c>
      <c r="K5" s="11">
        <v>0.29724</v>
      </c>
      <c r="L5" s="23">
        <f t="shared" si="0"/>
        <v>827.51616000000001</v>
      </c>
      <c r="M5" s="11">
        <v>780.00000000000011</v>
      </c>
      <c r="N5" s="11">
        <v>0.34075</v>
      </c>
      <c r="O5" s="23">
        <f t="shared" si="1"/>
        <v>265.78500000000003</v>
      </c>
      <c r="P5" s="11"/>
      <c r="Q5" s="92">
        <f t="shared" si="2"/>
        <v>1093.30116</v>
      </c>
    </row>
    <row r="6" spans="1:17">
      <c r="A6" t="s">
        <v>232</v>
      </c>
      <c r="B6" s="2" t="s">
        <v>222</v>
      </c>
      <c r="C6" s="28">
        <v>45542</v>
      </c>
      <c r="D6" t="s">
        <v>223</v>
      </c>
      <c r="E6" s="18">
        <v>3</v>
      </c>
      <c r="F6" t="s">
        <v>133</v>
      </c>
      <c r="G6" s="30">
        <v>2</v>
      </c>
      <c r="H6" s="18" t="s">
        <v>224</v>
      </c>
      <c r="I6" s="11">
        <f>SUM(34*3)*23.2</f>
        <v>2366.4</v>
      </c>
      <c r="K6" s="11">
        <v>0.29724</v>
      </c>
      <c r="L6" s="23">
        <f t="shared" si="0"/>
        <v>703.38873599999999</v>
      </c>
      <c r="M6" s="11">
        <v>780.00000000000011</v>
      </c>
      <c r="N6" s="11">
        <v>0.34075</v>
      </c>
      <c r="O6" s="23">
        <f t="shared" si="1"/>
        <v>265.78500000000003</v>
      </c>
      <c r="P6" s="11"/>
      <c r="Q6" s="92">
        <f t="shared" si="2"/>
        <v>969.17373599999996</v>
      </c>
    </row>
    <row r="7" spans="1:17">
      <c r="A7" t="s">
        <v>234</v>
      </c>
      <c r="B7" s="2" t="s">
        <v>222</v>
      </c>
      <c r="D7" t="s">
        <v>223</v>
      </c>
      <c r="E7" s="18">
        <v>3</v>
      </c>
      <c r="F7" t="s">
        <v>133</v>
      </c>
      <c r="G7" s="30">
        <v>3.8</v>
      </c>
      <c r="H7" s="18" t="s">
        <v>295</v>
      </c>
      <c r="I7" s="11">
        <f>SUM(13*3)*23.2</f>
        <v>904.8</v>
      </c>
      <c r="K7" s="11">
        <v>0.29724</v>
      </c>
      <c r="L7" s="23">
        <f t="shared" si="0"/>
        <v>268.94275199999998</v>
      </c>
      <c r="M7" s="11">
        <v>780.00000000000011</v>
      </c>
      <c r="N7" s="11">
        <v>0.34075</v>
      </c>
      <c r="O7" s="23">
        <f t="shared" si="1"/>
        <v>265.78500000000003</v>
      </c>
      <c r="P7" s="11"/>
      <c r="Q7" s="92">
        <f t="shared" si="2"/>
        <v>534.72775200000001</v>
      </c>
    </row>
    <row r="8" spans="1:17">
      <c r="A8" t="s">
        <v>239</v>
      </c>
      <c r="B8" s="2" t="s">
        <v>222</v>
      </c>
      <c r="C8" s="28">
        <v>45517</v>
      </c>
      <c r="D8" t="s">
        <v>223</v>
      </c>
      <c r="E8" s="18">
        <v>2</v>
      </c>
      <c r="F8" t="s">
        <v>133</v>
      </c>
      <c r="G8" s="30">
        <v>1.6</v>
      </c>
      <c r="H8" s="18" t="s">
        <v>224</v>
      </c>
      <c r="I8" s="11">
        <f>SUM(20*2)*23.2</f>
        <v>928</v>
      </c>
      <c r="K8" s="11">
        <v>0.29724</v>
      </c>
      <c r="L8" s="23">
        <f t="shared" si="0"/>
        <v>275.83872000000002</v>
      </c>
      <c r="M8" s="11">
        <v>1013.9999999999999</v>
      </c>
      <c r="N8" s="11">
        <v>0.34075</v>
      </c>
      <c r="O8" s="23">
        <f t="shared" si="1"/>
        <v>345.52049999999997</v>
      </c>
      <c r="P8" s="11"/>
      <c r="Q8" s="92">
        <f t="shared" si="2"/>
        <v>621.35922000000005</v>
      </c>
    </row>
    <row r="9" spans="1:17">
      <c r="A9" t="s">
        <v>238</v>
      </c>
      <c r="B9" s="28">
        <v>44711</v>
      </c>
      <c r="C9" s="28">
        <v>45016</v>
      </c>
      <c r="D9" t="s">
        <v>223</v>
      </c>
      <c r="E9" s="18">
        <v>3</v>
      </c>
      <c r="F9" t="s">
        <v>133</v>
      </c>
      <c r="G9" s="30">
        <v>1.6</v>
      </c>
      <c r="H9" s="18" t="s">
        <v>224</v>
      </c>
      <c r="I9" s="11">
        <f>SUM(18*3)*8</f>
        <v>432</v>
      </c>
      <c r="K9" s="11">
        <v>0.29724</v>
      </c>
      <c r="L9" s="23">
        <f t="shared" ref="L9" si="3">I9*K9</f>
        <v>128.40768</v>
      </c>
      <c r="M9" s="11">
        <v>450</v>
      </c>
      <c r="N9" s="11">
        <v>0.34075</v>
      </c>
      <c r="O9" s="23">
        <f>M9*N9</f>
        <v>153.33750000000001</v>
      </c>
      <c r="P9" s="11"/>
      <c r="Q9" s="92">
        <f>L9+O9</f>
        <v>281.74518</v>
      </c>
    </row>
    <row r="10" spans="1:17">
      <c r="A10" t="s">
        <v>241</v>
      </c>
      <c r="B10" s="2" t="s">
        <v>222</v>
      </c>
      <c r="C10" s="28">
        <v>45028</v>
      </c>
      <c r="D10" t="s">
        <v>242</v>
      </c>
      <c r="E10" s="18">
        <v>3</v>
      </c>
      <c r="I10" s="11">
        <f>6.92*3*12</f>
        <v>249.11999999999998</v>
      </c>
      <c r="J10" s="11">
        <f t="shared" ref="J10" si="4">I10*1.60934</f>
        <v>400.91878079999998</v>
      </c>
      <c r="K10" s="11">
        <v>3.5490000000000001E-2</v>
      </c>
      <c r="L10" s="23">
        <f t="shared" ref="L10" si="5">J10*K10</f>
        <v>14.228607530591999</v>
      </c>
      <c r="M10" s="11">
        <v>780.00000000000011</v>
      </c>
      <c r="N10" s="11">
        <v>0.34075</v>
      </c>
      <c r="O10" s="23">
        <f t="shared" si="1"/>
        <v>265.78500000000003</v>
      </c>
      <c r="P10" s="11"/>
      <c r="Q10" s="92">
        <f t="shared" si="2"/>
        <v>280.01360753059203</v>
      </c>
    </row>
    <row r="11" spans="1:17">
      <c r="A11" t="s">
        <v>243</v>
      </c>
      <c r="B11" s="28">
        <v>44613</v>
      </c>
      <c r="C11" s="28">
        <v>44985</v>
      </c>
      <c r="D11" t="s">
        <v>242</v>
      </c>
      <c r="E11" s="18">
        <v>3</v>
      </c>
      <c r="F11" s="152" t="s">
        <v>296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 spans="1:17">
      <c r="A12" t="s">
        <v>246</v>
      </c>
      <c r="B12" s="2" t="s">
        <v>222</v>
      </c>
      <c r="C12" s="28">
        <v>44947</v>
      </c>
      <c r="D12" t="s">
        <v>247</v>
      </c>
      <c r="E12" s="18">
        <v>0</v>
      </c>
      <c r="G12" s="30" t="s">
        <v>29</v>
      </c>
      <c r="H12" s="18" t="s">
        <v>29</v>
      </c>
      <c r="I12" s="11" t="s">
        <v>29</v>
      </c>
      <c r="K12" s="11"/>
      <c r="L12" s="23"/>
      <c r="M12" s="11">
        <v>112.5</v>
      </c>
      <c r="N12" s="11">
        <v>0.34075</v>
      </c>
      <c r="O12" s="23">
        <f t="shared" si="1"/>
        <v>38.334375000000001</v>
      </c>
      <c r="P12" s="11"/>
      <c r="Q12" s="92">
        <f t="shared" si="2"/>
        <v>38.334375000000001</v>
      </c>
    </row>
    <row r="13" spans="1:17">
      <c r="A13" t="s">
        <v>249</v>
      </c>
      <c r="B13" s="2" t="s">
        <v>222</v>
      </c>
      <c r="D13" t="s">
        <v>247</v>
      </c>
      <c r="E13" s="18">
        <v>0</v>
      </c>
      <c r="G13" s="30" t="s">
        <v>29</v>
      </c>
      <c r="H13" s="18" t="s">
        <v>29</v>
      </c>
      <c r="I13" s="11" t="s">
        <v>29</v>
      </c>
      <c r="K13" s="11"/>
      <c r="L13" s="23"/>
      <c r="M13" s="11">
        <v>0</v>
      </c>
      <c r="N13" s="11">
        <v>0.34075</v>
      </c>
      <c r="O13" s="23">
        <f t="shared" si="1"/>
        <v>0</v>
      </c>
      <c r="P13" s="11"/>
      <c r="Q13" s="92">
        <f t="shared" si="2"/>
        <v>0</v>
      </c>
    </row>
    <row r="14" spans="1:17">
      <c r="A14" t="s">
        <v>250</v>
      </c>
      <c r="B14" s="2" t="s">
        <v>222</v>
      </c>
      <c r="C14" s="28">
        <v>45016</v>
      </c>
      <c r="D14" t="s">
        <v>247</v>
      </c>
      <c r="E14" s="18">
        <v>0</v>
      </c>
      <c r="G14" s="30" t="s">
        <v>29</v>
      </c>
      <c r="H14" s="18" t="s">
        <v>29</v>
      </c>
      <c r="I14" s="11" t="s">
        <v>29</v>
      </c>
      <c r="K14" s="11"/>
      <c r="L14" s="23"/>
      <c r="M14" s="11">
        <v>187.5</v>
      </c>
      <c r="N14" s="11">
        <v>0.34075</v>
      </c>
      <c r="O14" s="23">
        <f t="shared" si="1"/>
        <v>63.890625</v>
      </c>
      <c r="P14" s="11"/>
      <c r="Q14" s="92">
        <f t="shared" si="2"/>
        <v>63.890625</v>
      </c>
    </row>
    <row r="15" spans="1:17">
      <c r="A15" t="s">
        <v>252</v>
      </c>
      <c r="B15" s="28">
        <v>44835</v>
      </c>
      <c r="D15" t="s">
        <v>247</v>
      </c>
      <c r="E15" s="18">
        <v>0</v>
      </c>
      <c r="G15" s="30" t="s">
        <v>29</v>
      </c>
      <c r="H15" s="18" t="s">
        <v>29</v>
      </c>
      <c r="I15" s="11" t="s">
        <v>29</v>
      </c>
      <c r="K15" s="11"/>
      <c r="L15" s="23"/>
      <c r="M15" s="11">
        <v>245</v>
      </c>
      <c r="N15" s="11">
        <v>0.34075</v>
      </c>
      <c r="O15" s="23">
        <f t="shared" si="1"/>
        <v>83.483750000000001</v>
      </c>
      <c r="P15" s="11"/>
      <c r="Q15" s="92">
        <f t="shared" si="2"/>
        <v>83.483750000000001</v>
      </c>
    </row>
    <row r="16" spans="1:17">
      <c r="C16" s="28"/>
      <c r="K16" s="11"/>
      <c r="L16" s="187">
        <f>SUM(L2:L15)</f>
        <v>3099.6273659305916</v>
      </c>
      <c r="M16" s="11"/>
      <c r="N16" s="11"/>
      <c r="O16" s="23"/>
      <c r="P16" s="11"/>
      <c r="Q16" s="92"/>
    </row>
    <row r="17" spans="1:17">
      <c r="C17" s="28"/>
      <c r="K17" s="11"/>
      <c r="L17" s="23"/>
      <c r="M17" s="11"/>
      <c r="N17" s="11"/>
      <c r="O17" s="23"/>
      <c r="P17" s="11"/>
      <c r="Q17" s="92"/>
    </row>
    <row r="18" spans="1:17" ht="19">
      <c r="A18" s="69" t="s">
        <v>297</v>
      </c>
      <c r="C18" s="28"/>
      <c r="K18" s="11"/>
      <c r="L18" s="23"/>
      <c r="M18" s="11"/>
      <c r="N18" s="11"/>
      <c r="O18" s="23"/>
      <c r="P18" s="11"/>
      <c r="Q18" s="92"/>
    </row>
    <row r="19" spans="1:17" ht="80">
      <c r="A19" s="32" t="s">
        <v>122</v>
      </c>
      <c r="B19" s="32" t="s">
        <v>210</v>
      </c>
      <c r="C19" s="32" t="s">
        <v>211</v>
      </c>
      <c r="D19" s="32" t="s">
        <v>212</v>
      </c>
      <c r="E19" s="33" t="s">
        <v>298</v>
      </c>
      <c r="F19" s="32" t="s">
        <v>124</v>
      </c>
      <c r="G19" s="34" t="s">
        <v>125</v>
      </c>
      <c r="H19" s="33" t="s">
        <v>126</v>
      </c>
      <c r="I19" s="35" t="s">
        <v>299</v>
      </c>
      <c r="J19" s="35" t="s">
        <v>215</v>
      </c>
      <c r="K19" s="35" t="s">
        <v>216</v>
      </c>
      <c r="L19" s="90" t="s">
        <v>217</v>
      </c>
      <c r="M19" s="11"/>
      <c r="N19" s="11"/>
      <c r="O19" s="23"/>
      <c r="P19" s="11"/>
      <c r="Q19" s="92"/>
    </row>
    <row r="20" spans="1:17">
      <c r="A20" t="s">
        <v>228</v>
      </c>
      <c r="B20" s="2" t="s">
        <v>222</v>
      </c>
      <c r="D20" t="s">
        <v>223</v>
      </c>
      <c r="E20" s="18">
        <v>12</v>
      </c>
      <c r="F20" t="s">
        <v>133</v>
      </c>
      <c r="G20" s="30">
        <v>1.8</v>
      </c>
      <c r="H20" s="18" t="s">
        <v>224</v>
      </c>
      <c r="I20" s="11">
        <f>20.4*E20</f>
        <v>244.79999999999998</v>
      </c>
      <c r="K20" s="11">
        <v>0.28675699999999998</v>
      </c>
      <c r="L20" s="23">
        <f t="shared" ref="L20:L25" si="6">I20*K20</f>
        <v>70.198113599999985</v>
      </c>
      <c r="M20" s="11"/>
      <c r="N20" s="11"/>
      <c r="O20" s="11"/>
      <c r="P20" s="11"/>
      <c r="Q20" s="61"/>
    </row>
    <row r="21" spans="1:17">
      <c r="A21" t="s">
        <v>225</v>
      </c>
      <c r="B21" s="28">
        <v>44767</v>
      </c>
      <c r="C21" s="28">
        <v>45177</v>
      </c>
      <c r="D21" t="s">
        <v>223</v>
      </c>
      <c r="E21" s="18">
        <v>12</v>
      </c>
      <c r="F21" t="s">
        <v>133</v>
      </c>
      <c r="G21" s="30">
        <v>1.6</v>
      </c>
      <c r="H21" s="18" t="s">
        <v>224</v>
      </c>
      <c r="I21" s="11">
        <f>24*E21</f>
        <v>288</v>
      </c>
      <c r="K21" s="11">
        <v>0.28675699999999998</v>
      </c>
      <c r="L21" s="23">
        <f t="shared" si="6"/>
        <v>82.586016000000001</v>
      </c>
      <c r="M21" s="11"/>
      <c r="N21" s="11"/>
      <c r="O21" s="11"/>
      <c r="P21" s="11"/>
      <c r="Q21" s="61"/>
    </row>
    <row r="22" spans="1:17">
      <c r="A22" t="s">
        <v>230</v>
      </c>
      <c r="B22" s="2" t="s">
        <v>222</v>
      </c>
      <c r="C22" s="2" t="s">
        <v>189</v>
      </c>
      <c r="D22" t="s">
        <v>223</v>
      </c>
      <c r="E22" s="18">
        <v>12</v>
      </c>
      <c r="F22" t="s">
        <v>133</v>
      </c>
      <c r="G22" s="30">
        <v>2</v>
      </c>
      <c r="H22" s="18" t="s">
        <v>224</v>
      </c>
      <c r="I22" s="11">
        <f>25*E22</f>
        <v>300</v>
      </c>
      <c r="K22" s="11">
        <v>0.28675699999999998</v>
      </c>
      <c r="L22" s="23">
        <f t="shared" si="6"/>
        <v>86.02709999999999</v>
      </c>
      <c r="M22" s="11"/>
      <c r="N22" s="11"/>
      <c r="O22" s="11"/>
      <c r="P22" s="11"/>
      <c r="Q22" s="61"/>
    </row>
    <row r="23" spans="1:17">
      <c r="A23" t="s">
        <v>231</v>
      </c>
      <c r="B23" s="2" t="s">
        <v>222</v>
      </c>
      <c r="C23" s="28">
        <v>45296</v>
      </c>
      <c r="D23" t="s">
        <v>223</v>
      </c>
      <c r="E23" s="18">
        <v>12</v>
      </c>
      <c r="F23" t="s">
        <v>133</v>
      </c>
      <c r="G23" s="30">
        <v>1.6</v>
      </c>
      <c r="H23" s="18" t="s">
        <v>224</v>
      </c>
      <c r="I23" s="11">
        <f>47.2*E23</f>
        <v>566.40000000000009</v>
      </c>
      <c r="K23" s="11">
        <v>0.28675699999999998</v>
      </c>
      <c r="L23" s="23">
        <f t="shared" si="6"/>
        <v>162.4191648</v>
      </c>
      <c r="M23" s="11"/>
      <c r="N23" s="11"/>
      <c r="O23" s="11"/>
      <c r="P23" s="11"/>
      <c r="Q23" s="61"/>
    </row>
    <row r="24" spans="1:17">
      <c r="A24" t="s">
        <v>232</v>
      </c>
      <c r="B24" s="2" t="s">
        <v>222</v>
      </c>
      <c r="C24" s="28">
        <v>45542</v>
      </c>
      <c r="D24" t="s">
        <v>223</v>
      </c>
      <c r="E24" s="18">
        <v>12</v>
      </c>
      <c r="F24" t="s">
        <v>133</v>
      </c>
      <c r="G24" s="30">
        <v>2</v>
      </c>
      <c r="H24" s="18" t="s">
        <v>224</v>
      </c>
      <c r="I24" s="11">
        <f>25.4*E24</f>
        <v>304.79999999999995</v>
      </c>
      <c r="K24" s="11">
        <v>0.28675699999999998</v>
      </c>
      <c r="L24" s="23">
        <f t="shared" si="6"/>
        <v>87.403533599999989</v>
      </c>
      <c r="M24" s="11"/>
      <c r="N24" s="11"/>
      <c r="O24" s="11"/>
      <c r="P24" s="11"/>
      <c r="Q24" s="61"/>
    </row>
    <row r="25" spans="1:17">
      <c r="A25" t="s">
        <v>234</v>
      </c>
      <c r="B25" s="2" t="s">
        <v>222</v>
      </c>
      <c r="D25" t="s">
        <v>223</v>
      </c>
      <c r="E25" s="18">
        <v>12</v>
      </c>
      <c r="F25" t="s">
        <v>133</v>
      </c>
      <c r="G25" s="30">
        <v>3.8</v>
      </c>
      <c r="H25" s="18" t="s">
        <v>300</v>
      </c>
      <c r="I25" s="11">
        <f>8.4*E25</f>
        <v>100.80000000000001</v>
      </c>
      <c r="K25" s="11">
        <v>0.43811699999999998</v>
      </c>
      <c r="L25" s="23">
        <f t="shared" si="6"/>
        <v>44.162193600000002</v>
      </c>
      <c r="M25" s="11"/>
      <c r="N25" s="11"/>
      <c r="O25" s="11"/>
      <c r="P25" s="11"/>
      <c r="Q25" s="61"/>
    </row>
    <row r="26" spans="1:17">
      <c r="A26" t="s">
        <v>239</v>
      </c>
      <c r="B26" s="2" t="s">
        <v>222</v>
      </c>
      <c r="C26" s="28">
        <v>45517</v>
      </c>
      <c r="D26" t="s">
        <v>223</v>
      </c>
      <c r="E26" s="2" t="s">
        <v>301</v>
      </c>
      <c r="F26" s="2"/>
      <c r="G26" s="85"/>
      <c r="H26" s="2"/>
      <c r="I26" s="2"/>
      <c r="J26" s="2"/>
      <c r="K26" s="2"/>
      <c r="L26" s="22"/>
      <c r="M26" s="11"/>
      <c r="N26" s="11"/>
      <c r="O26" s="11"/>
      <c r="P26" s="11"/>
      <c r="Q26" s="61"/>
    </row>
    <row r="27" spans="1:17">
      <c r="A27" t="s">
        <v>302</v>
      </c>
      <c r="B27" s="28">
        <v>45145</v>
      </c>
      <c r="C27" s="28">
        <v>45373</v>
      </c>
      <c r="D27" t="s">
        <v>223</v>
      </c>
      <c r="E27" s="18">
        <v>12</v>
      </c>
      <c r="F27" t="s">
        <v>133</v>
      </c>
      <c r="G27" s="30">
        <v>1.2</v>
      </c>
      <c r="H27" s="18" t="s">
        <v>227</v>
      </c>
      <c r="I27" s="11">
        <f>10.6*E27</f>
        <v>127.19999999999999</v>
      </c>
      <c r="K27" s="11">
        <v>0.26659699999999997</v>
      </c>
      <c r="L27" s="23">
        <f t="shared" ref="L27" si="7">I27*K27</f>
        <v>33.911138399999992</v>
      </c>
      <c r="M27" s="11"/>
      <c r="N27" s="11"/>
      <c r="O27" s="11"/>
      <c r="P27" s="11"/>
      <c r="Q27" s="61"/>
    </row>
    <row r="28" spans="1:17">
      <c r="L28" s="187">
        <f>SUM(L20:L27)</f>
        <v>566.70726000000002</v>
      </c>
    </row>
    <row r="29" spans="1:17">
      <c r="B29" s="28"/>
      <c r="C29" s="28"/>
    </row>
    <row r="31" spans="1:17">
      <c r="C31" s="28"/>
      <c r="K31" s="196" t="s">
        <v>303</v>
      </c>
      <c r="L31" s="196">
        <f>SUM(L28,L16)</f>
        <v>3666.3346259305918</v>
      </c>
    </row>
    <row r="32" spans="1:17">
      <c r="B32" s="28"/>
      <c r="C32" s="28"/>
    </row>
    <row r="33" spans="2:3">
      <c r="C33" s="28"/>
    </row>
    <row r="35" spans="2:3">
      <c r="C35" s="28"/>
    </row>
    <row r="36" spans="2:3">
      <c r="B36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15DDF-8871-4A02-8770-83833373F166}">
  <dimension ref="A1:R74"/>
  <sheetViews>
    <sheetView zoomScale="77" zoomScaleNormal="77" workbookViewId="0">
      <pane ySplit="2" topLeftCell="A3" activePane="bottomLeft" state="frozen"/>
      <selection activeCell="D85" sqref="D85"/>
      <selection pane="bottomLeft" activeCell="A23" sqref="A23"/>
    </sheetView>
  </sheetViews>
  <sheetFormatPr baseColWidth="10" defaultColWidth="8.83203125" defaultRowHeight="15"/>
  <cols>
    <col min="1" max="1" width="11.33203125" style="2" bestFit="1" customWidth="1"/>
    <col min="2" max="2" width="20.33203125" style="2" customWidth="1"/>
    <col min="3" max="3" width="20.6640625" customWidth="1"/>
    <col min="4" max="4" width="22.6640625" style="2" customWidth="1"/>
    <col min="5" max="5" width="20.6640625" style="2" customWidth="1"/>
    <col min="6" max="6" width="22.5" style="30" customWidth="1"/>
    <col min="7" max="7" width="15.5" style="30" customWidth="1"/>
    <col min="8" max="8" width="14.5" style="30" customWidth="1"/>
    <col min="9" max="9" width="13.5" style="18" customWidth="1"/>
    <col min="10" max="10" width="18.1640625" style="11" customWidth="1"/>
    <col min="11" max="11" width="25.6640625" customWidth="1"/>
    <col min="12" max="12" width="13.33203125" customWidth="1"/>
  </cols>
  <sheetData>
    <row r="1" spans="1:17" s="29" customFormat="1">
      <c r="A1" s="31" t="s">
        <v>66</v>
      </c>
      <c r="B1" s="2"/>
      <c r="C1"/>
      <c r="D1" s="2"/>
      <c r="E1" s="2"/>
      <c r="F1" s="30"/>
      <c r="G1" s="30"/>
      <c r="H1" s="30"/>
      <c r="I1" s="18"/>
      <c r="J1" s="11"/>
    </row>
    <row r="2" spans="1:17" ht="64">
      <c r="A2" s="36" t="s">
        <v>67</v>
      </c>
      <c r="B2" s="36" t="s">
        <v>68</v>
      </c>
      <c r="C2" s="36" t="s">
        <v>122</v>
      </c>
      <c r="D2" s="36" t="s">
        <v>70</v>
      </c>
      <c r="E2" s="36" t="s">
        <v>71</v>
      </c>
      <c r="F2" s="36" t="s">
        <v>72</v>
      </c>
      <c r="G2" s="37" t="s">
        <v>73</v>
      </c>
      <c r="H2" s="37" t="s">
        <v>74</v>
      </c>
      <c r="I2" s="37" t="s">
        <v>75</v>
      </c>
      <c r="J2" s="43" t="s">
        <v>76</v>
      </c>
      <c r="K2" s="38" t="s">
        <v>77</v>
      </c>
      <c r="L2" s="39" t="s">
        <v>78</v>
      </c>
      <c r="M2" s="37" t="s">
        <v>79</v>
      </c>
      <c r="N2" s="37" t="s">
        <v>75</v>
      </c>
      <c r="O2" s="43" t="s">
        <v>76</v>
      </c>
      <c r="Q2" s="46" t="s">
        <v>80</v>
      </c>
    </row>
    <row r="3" spans="1:17">
      <c r="A3" s="2">
        <v>1</v>
      </c>
      <c r="B3" s="28">
        <v>45303</v>
      </c>
      <c r="C3" s="28" t="s">
        <v>106</v>
      </c>
      <c r="D3" t="s">
        <v>304</v>
      </c>
      <c r="E3" s="2" t="s">
        <v>261</v>
      </c>
      <c r="F3" s="2" t="s">
        <v>305</v>
      </c>
      <c r="G3" s="30">
        <v>32</v>
      </c>
      <c r="H3" s="30">
        <f>G3*1.60934</f>
        <v>51.49888</v>
      </c>
      <c r="I3" s="41">
        <v>3.5490000000000001E-2</v>
      </c>
      <c r="J3" s="42">
        <f>H3*I3*A3</f>
        <v>1.8276952512</v>
      </c>
      <c r="K3" s="18" t="s">
        <v>105</v>
      </c>
      <c r="L3" s="11">
        <v>0</v>
      </c>
      <c r="M3" s="30">
        <f>L3*1.60934</f>
        <v>0</v>
      </c>
      <c r="N3" s="11">
        <v>0.14876</v>
      </c>
      <c r="O3" s="42">
        <f>M3*N3</f>
        <v>0</v>
      </c>
      <c r="Q3" s="45">
        <f t="shared" ref="Q3:Q9" si="0">J3+O3</f>
        <v>1.8276952512</v>
      </c>
    </row>
    <row r="4" spans="1:17">
      <c r="A4" s="2">
        <v>1</v>
      </c>
      <c r="B4" s="28">
        <v>45315</v>
      </c>
      <c r="C4" s="28" t="s">
        <v>264</v>
      </c>
      <c r="D4" t="s">
        <v>304</v>
      </c>
      <c r="E4" s="2" t="s">
        <v>98</v>
      </c>
      <c r="F4" s="2" t="s">
        <v>306</v>
      </c>
      <c r="G4" s="30">
        <v>52</v>
      </c>
      <c r="H4" s="30">
        <f t="shared" ref="H4:H8" si="1">G4*1.60934</f>
        <v>83.685680000000005</v>
      </c>
      <c r="I4" s="41">
        <v>3.5490000000000001E-2</v>
      </c>
      <c r="J4" s="42">
        <f t="shared" ref="J4:J7" si="2">H4*I4*A4</f>
        <v>2.9700047832000003</v>
      </c>
      <c r="K4" s="18" t="s">
        <v>307</v>
      </c>
      <c r="L4" s="11">
        <v>4.8</v>
      </c>
      <c r="M4" s="30">
        <f>L4*1.60934</f>
        <v>7.7248319999999993</v>
      </c>
      <c r="N4" s="11">
        <v>1.14876</v>
      </c>
      <c r="O4" s="42">
        <f>M4*N4</f>
        <v>8.8739780083199999</v>
      </c>
      <c r="Q4" s="45">
        <f t="shared" si="0"/>
        <v>11.84398279152</v>
      </c>
    </row>
    <row r="5" spans="1:17">
      <c r="A5" s="2">
        <v>1</v>
      </c>
      <c r="B5" s="28">
        <v>45413</v>
      </c>
      <c r="C5" s="28" t="s">
        <v>81</v>
      </c>
      <c r="D5" t="s">
        <v>304</v>
      </c>
      <c r="E5" s="2" t="s">
        <v>83</v>
      </c>
      <c r="F5" s="2" t="s">
        <v>100</v>
      </c>
      <c r="G5" s="30">
        <v>7</v>
      </c>
      <c r="H5" s="30">
        <f t="shared" si="1"/>
        <v>11.26538</v>
      </c>
      <c r="I5" s="41">
        <v>3.5490000000000001E-2</v>
      </c>
      <c r="J5" s="42">
        <f t="shared" si="2"/>
        <v>0.3998083362</v>
      </c>
      <c r="K5" s="18"/>
      <c r="L5" s="11"/>
      <c r="M5" s="30"/>
      <c r="N5" s="11"/>
      <c r="O5" s="42">
        <f t="shared" ref="O5:O7" si="3">M5*N5</f>
        <v>0</v>
      </c>
      <c r="Q5" s="45">
        <f t="shared" si="0"/>
        <v>0.3998083362</v>
      </c>
    </row>
    <row r="6" spans="1:17">
      <c r="A6" s="2">
        <v>1</v>
      </c>
      <c r="B6" s="28">
        <v>45413</v>
      </c>
      <c r="C6" s="28" t="s">
        <v>81</v>
      </c>
      <c r="D6" t="s">
        <v>304</v>
      </c>
      <c r="E6" s="2" t="s">
        <v>98</v>
      </c>
      <c r="F6" s="2" t="s">
        <v>83</v>
      </c>
      <c r="G6" s="30">
        <v>7</v>
      </c>
      <c r="H6" s="30">
        <f t="shared" si="1"/>
        <v>11.26538</v>
      </c>
      <c r="I6" s="41">
        <v>3.5490000000000001E-2</v>
      </c>
      <c r="J6" s="42">
        <f t="shared" si="2"/>
        <v>0.3998083362</v>
      </c>
      <c r="K6" s="18"/>
      <c r="L6" s="11"/>
      <c r="M6" s="30"/>
      <c r="N6" s="11"/>
      <c r="O6" s="42">
        <f t="shared" si="3"/>
        <v>0</v>
      </c>
      <c r="Q6" s="45">
        <f t="shared" si="0"/>
        <v>0.3998083362</v>
      </c>
    </row>
    <row r="7" spans="1:17">
      <c r="A7" s="2">
        <v>1</v>
      </c>
      <c r="B7" s="28">
        <v>45390</v>
      </c>
      <c r="C7" s="28" t="s">
        <v>93</v>
      </c>
      <c r="D7" t="s">
        <v>116</v>
      </c>
      <c r="E7" s="2" t="s">
        <v>95</v>
      </c>
      <c r="F7" s="2" t="s">
        <v>265</v>
      </c>
      <c r="G7" s="30">
        <v>225</v>
      </c>
      <c r="H7" s="30">
        <f t="shared" si="1"/>
        <v>362.10149999999999</v>
      </c>
      <c r="I7" s="41">
        <v>3.5490000000000001E-2</v>
      </c>
      <c r="J7" s="42">
        <f t="shared" si="2"/>
        <v>12.850982235</v>
      </c>
      <c r="K7" s="18"/>
      <c r="L7" s="11"/>
      <c r="M7" s="30"/>
      <c r="N7" s="11"/>
      <c r="O7" s="42">
        <f t="shared" si="3"/>
        <v>0</v>
      </c>
      <c r="Q7" s="45">
        <f t="shared" si="0"/>
        <v>12.850982235</v>
      </c>
    </row>
    <row r="8" spans="1:17">
      <c r="A8" s="2">
        <v>1</v>
      </c>
      <c r="B8" s="28">
        <v>45446</v>
      </c>
      <c r="C8" s="28" t="s">
        <v>93</v>
      </c>
      <c r="D8" t="s">
        <v>116</v>
      </c>
      <c r="E8" s="2" t="s">
        <v>95</v>
      </c>
      <c r="F8" s="2" t="s">
        <v>308</v>
      </c>
      <c r="G8" s="30">
        <v>20</v>
      </c>
      <c r="H8" s="30">
        <f t="shared" si="1"/>
        <v>32.186799999999998</v>
      </c>
      <c r="I8" s="41">
        <v>3.5490000000000001E-2</v>
      </c>
      <c r="J8" s="42">
        <f t="shared" ref="J8" si="4">H8*I8*A8</f>
        <v>1.1423095319999998</v>
      </c>
      <c r="K8" s="18"/>
      <c r="L8" s="11"/>
      <c r="M8" s="30"/>
      <c r="N8" s="11"/>
      <c r="O8" s="42"/>
      <c r="Q8" s="45">
        <f t="shared" si="0"/>
        <v>1.1423095319999998</v>
      </c>
    </row>
    <row r="9" spans="1:17">
      <c r="A9" s="2">
        <v>1</v>
      </c>
      <c r="B9" s="28">
        <v>45446</v>
      </c>
      <c r="C9" s="28" t="s">
        <v>106</v>
      </c>
      <c r="D9" t="s">
        <v>304</v>
      </c>
      <c r="E9" s="2" t="s">
        <v>309</v>
      </c>
      <c r="F9" s="2" t="s">
        <v>308</v>
      </c>
      <c r="G9" s="30">
        <v>16</v>
      </c>
      <c r="H9" s="30">
        <f t="shared" ref="H9" si="5">G9*1.60934</f>
        <v>25.74944</v>
      </c>
      <c r="I9" s="41">
        <v>1.03549</v>
      </c>
      <c r="J9" s="42">
        <f t="shared" ref="J9" si="6">H9*I9*A9</f>
        <v>26.663287625599999</v>
      </c>
      <c r="K9" s="18"/>
      <c r="L9" s="11"/>
      <c r="M9" s="30"/>
      <c r="N9" s="11"/>
      <c r="O9" s="42"/>
      <c r="Q9" s="45">
        <f t="shared" si="0"/>
        <v>26.663287625599999</v>
      </c>
    </row>
    <row r="10" spans="1:17">
      <c r="B10" s="28"/>
      <c r="C10" s="28"/>
      <c r="D10"/>
      <c r="F10" s="2"/>
      <c r="I10" s="41"/>
      <c r="J10" s="42"/>
      <c r="K10" s="18"/>
      <c r="L10" s="11"/>
      <c r="M10" s="30"/>
      <c r="N10" s="11"/>
      <c r="O10" s="42"/>
      <c r="Q10" s="45"/>
    </row>
    <row r="11" spans="1:17">
      <c r="B11" s="28"/>
      <c r="C11" s="28"/>
      <c r="D11"/>
      <c r="F11" s="2"/>
      <c r="I11" s="41"/>
      <c r="J11" s="42"/>
      <c r="K11" s="18"/>
      <c r="L11" s="11"/>
      <c r="M11" s="30"/>
      <c r="N11" s="11"/>
      <c r="O11" s="42"/>
      <c r="Q11" s="45"/>
    </row>
    <row r="12" spans="1:17">
      <c r="B12" s="28"/>
      <c r="C12" s="28"/>
      <c r="D12"/>
      <c r="F12" s="2"/>
      <c r="I12" s="41"/>
      <c r="J12" s="42"/>
      <c r="K12" s="18"/>
      <c r="L12" s="11"/>
      <c r="M12" s="30"/>
      <c r="N12" s="11"/>
      <c r="O12" s="42"/>
      <c r="Q12" s="45"/>
    </row>
    <row r="13" spans="1:17">
      <c r="B13" s="28"/>
      <c r="C13" s="28"/>
      <c r="D13"/>
      <c r="F13" s="2"/>
      <c r="I13" s="41"/>
      <c r="J13" s="42"/>
      <c r="K13" s="18"/>
      <c r="L13" s="11"/>
      <c r="M13" s="30"/>
      <c r="N13" s="11"/>
      <c r="O13" s="42"/>
      <c r="Q13" s="45"/>
    </row>
    <row r="14" spans="1:17">
      <c r="B14" s="28"/>
      <c r="C14" s="28"/>
      <c r="D14"/>
      <c r="F14" s="2"/>
      <c r="I14" s="41"/>
      <c r="J14" s="42"/>
      <c r="K14" s="18"/>
      <c r="L14" s="11"/>
      <c r="M14" s="30"/>
      <c r="N14" s="11"/>
      <c r="O14" s="42"/>
      <c r="Q14" s="45"/>
    </row>
    <row r="15" spans="1:17" ht="16" thickBot="1">
      <c r="A15" s="47"/>
      <c r="B15" s="47"/>
      <c r="C15" s="47"/>
      <c r="D15" s="48"/>
      <c r="E15" s="47"/>
      <c r="F15" s="47"/>
      <c r="G15" s="49"/>
      <c r="H15" s="49"/>
      <c r="I15" s="49"/>
      <c r="J15" s="193">
        <f>SUM(J3:J7)</f>
        <v>18.448298941799997</v>
      </c>
      <c r="K15" s="51"/>
      <c r="L15" s="52"/>
      <c r="M15" s="52"/>
      <c r="N15" s="52"/>
      <c r="O15" s="53">
        <f>SUM(O3:O7)</f>
        <v>8.8739780083199999</v>
      </c>
      <c r="P15" s="54"/>
      <c r="Q15" s="265">
        <f>SUM(Q3:Q7)</f>
        <v>27.322276950119999</v>
      </c>
    </row>
    <row r="16" spans="1:17" ht="16" thickTop="1">
      <c r="I16" s="30"/>
      <c r="J16" s="42"/>
      <c r="K16" s="18"/>
      <c r="L16" s="11"/>
      <c r="M16" s="11"/>
      <c r="N16" s="11"/>
      <c r="O16" s="21"/>
      <c r="Q16" s="21"/>
    </row>
    <row r="20" spans="1:18">
      <c r="A20" s="31" t="s">
        <v>120</v>
      </c>
    </row>
    <row r="21" spans="1:18" ht="32">
      <c r="A21" s="32" t="s">
        <v>121</v>
      </c>
      <c r="B21" s="32" t="s">
        <v>122</v>
      </c>
      <c r="C21" s="32" t="s">
        <v>123</v>
      </c>
      <c r="D21" s="32" t="s">
        <v>124</v>
      </c>
      <c r="E21" s="34" t="s">
        <v>125</v>
      </c>
      <c r="F21" s="33" t="s">
        <v>126</v>
      </c>
      <c r="G21" s="33" t="s">
        <v>127</v>
      </c>
      <c r="H21" s="33" t="s">
        <v>128</v>
      </c>
      <c r="I21" s="33" t="s">
        <v>129</v>
      </c>
      <c r="J21" s="35" t="s">
        <v>130</v>
      </c>
      <c r="K21" s="34" t="s">
        <v>310</v>
      </c>
      <c r="L21" s="81" t="s">
        <v>76</v>
      </c>
      <c r="N21" s="229" t="s">
        <v>311</v>
      </c>
    </row>
    <row r="22" spans="1:18">
      <c r="A22" s="2">
        <v>1</v>
      </c>
      <c r="B22" s="2" t="s">
        <v>152</v>
      </c>
      <c r="C22" s="28" t="s">
        <v>132</v>
      </c>
      <c r="D22" s="30" t="s">
        <v>133</v>
      </c>
      <c r="E22" s="30">
        <v>1.6</v>
      </c>
      <c r="F22" s="18" t="s">
        <v>140</v>
      </c>
      <c r="G22" s="18" t="s">
        <v>312</v>
      </c>
      <c r="H22" s="18" t="s">
        <v>313</v>
      </c>
      <c r="I22" s="18" t="s">
        <v>137</v>
      </c>
      <c r="J22" s="11">
        <v>184</v>
      </c>
      <c r="K22">
        <v>0.30959999999999999</v>
      </c>
      <c r="L22" s="55">
        <f>J22*K22*A22</f>
        <v>56.9664</v>
      </c>
      <c r="M22" s="11"/>
    </row>
    <row r="23" spans="1:18">
      <c r="A23" s="2">
        <v>1</v>
      </c>
      <c r="B23" s="2" t="s">
        <v>141</v>
      </c>
      <c r="C23" s="28" t="s">
        <v>132</v>
      </c>
      <c r="D23" s="30" t="s">
        <v>133</v>
      </c>
      <c r="E23" s="30">
        <v>3.8</v>
      </c>
      <c r="F23" s="18" t="s">
        <v>143</v>
      </c>
      <c r="G23" s="18" t="s">
        <v>144</v>
      </c>
      <c r="H23" s="18" t="s">
        <v>313</v>
      </c>
      <c r="I23" s="18" t="s">
        <v>137</v>
      </c>
      <c r="J23" s="11">
        <v>171.62</v>
      </c>
      <c r="K23">
        <v>0.45540000000000003</v>
      </c>
      <c r="L23" s="55">
        <f t="shared" ref="L23:L26" si="7">J23*K23*A23</f>
        <v>78.155748000000003</v>
      </c>
      <c r="N23" s="61" t="s">
        <v>314</v>
      </c>
      <c r="O23" s="61" t="s">
        <v>315</v>
      </c>
      <c r="P23" s="61" t="s">
        <v>316</v>
      </c>
      <c r="Q23" s="61" t="s">
        <v>317</v>
      </c>
      <c r="R23" s="61" t="s">
        <v>318</v>
      </c>
    </row>
    <row r="24" spans="1:18">
      <c r="A24" s="2">
        <v>1</v>
      </c>
      <c r="B24" s="2" t="s">
        <v>106</v>
      </c>
      <c r="C24" s="28" t="s">
        <v>139</v>
      </c>
      <c r="D24" s="30" t="s">
        <v>133</v>
      </c>
      <c r="E24" s="30">
        <v>1.6</v>
      </c>
      <c r="F24" s="18" t="s">
        <v>140</v>
      </c>
      <c r="G24" s="18"/>
      <c r="H24" s="18"/>
      <c r="I24" s="18" t="s">
        <v>137</v>
      </c>
      <c r="J24" s="11">
        <v>110</v>
      </c>
      <c r="K24">
        <v>0.30959999999999999</v>
      </c>
      <c r="L24" s="55">
        <f t="shared" si="7"/>
        <v>34.055999999999997</v>
      </c>
      <c r="M24" s="11"/>
      <c r="N24" t="s">
        <v>319</v>
      </c>
      <c r="O24" t="s">
        <v>320</v>
      </c>
      <c r="P24">
        <v>0.1537</v>
      </c>
      <c r="Q24">
        <v>0.24729999999999999</v>
      </c>
      <c r="R24" s="61">
        <v>0.25</v>
      </c>
    </row>
    <row r="25" spans="1:18">
      <c r="A25" s="2">
        <v>1</v>
      </c>
      <c r="B25" s="2" t="s">
        <v>138</v>
      </c>
      <c r="C25" s="28" t="s">
        <v>139</v>
      </c>
      <c r="D25" s="30" t="s">
        <v>133</v>
      </c>
      <c r="E25" s="30">
        <v>1.6</v>
      </c>
      <c r="F25" s="18" t="s">
        <v>140</v>
      </c>
      <c r="G25" s="18"/>
      <c r="H25" s="18"/>
      <c r="I25" s="18" t="s">
        <v>137</v>
      </c>
      <c r="J25" s="11">
        <v>149</v>
      </c>
      <c r="K25">
        <v>0.30959999999999999</v>
      </c>
      <c r="L25" s="55">
        <f t="shared" si="7"/>
        <v>46.130399999999995</v>
      </c>
      <c r="M25" s="11"/>
      <c r="N25" t="s">
        <v>321</v>
      </c>
      <c r="O25" t="s">
        <v>322</v>
      </c>
      <c r="P25">
        <v>0.1923</v>
      </c>
      <c r="Q25">
        <v>0.30959999999999999</v>
      </c>
      <c r="R25" s="61">
        <v>0.31</v>
      </c>
    </row>
    <row r="26" spans="1:18">
      <c r="A26" s="2">
        <v>1</v>
      </c>
      <c r="B26" s="2" t="s">
        <v>106</v>
      </c>
      <c r="C26" s="28" t="s">
        <v>323</v>
      </c>
      <c r="D26" s="30" t="s">
        <v>133</v>
      </c>
      <c r="E26" s="30">
        <v>1.6</v>
      </c>
      <c r="F26" s="18" t="s">
        <v>140</v>
      </c>
      <c r="G26" s="18"/>
      <c r="H26" s="18"/>
      <c r="I26" s="18" t="s">
        <v>137</v>
      </c>
      <c r="J26" s="11">
        <v>260</v>
      </c>
      <c r="K26">
        <v>0.30959999999999999</v>
      </c>
      <c r="L26" s="55">
        <f t="shared" si="7"/>
        <v>80.495999999999995</v>
      </c>
      <c r="N26" t="s">
        <v>324</v>
      </c>
      <c r="O26" t="s">
        <v>325</v>
      </c>
      <c r="P26">
        <v>0.28299999999999997</v>
      </c>
      <c r="Q26">
        <v>0.45540000000000003</v>
      </c>
      <c r="R26" s="61">
        <v>0.46</v>
      </c>
    </row>
    <row r="27" spans="1:18">
      <c r="A27" s="2">
        <v>1</v>
      </c>
      <c r="B27" s="2" t="s">
        <v>326</v>
      </c>
      <c r="C27" s="28" t="s">
        <v>323</v>
      </c>
      <c r="D27" s="30" t="s">
        <v>133</v>
      </c>
      <c r="E27" s="30">
        <v>2</v>
      </c>
      <c r="F27" s="18" t="s">
        <v>140</v>
      </c>
      <c r="G27" s="18"/>
      <c r="H27" s="18"/>
      <c r="I27" s="18" t="s">
        <v>137</v>
      </c>
      <c r="J27" s="11">
        <v>127</v>
      </c>
      <c r="K27">
        <v>0.30959999999999999</v>
      </c>
      <c r="L27" s="55">
        <f t="shared" ref="L27:L45" si="8">J27*K27*A27</f>
        <v>39.319199999999995</v>
      </c>
    </row>
    <row r="28" spans="1:18">
      <c r="A28" s="2">
        <v>1</v>
      </c>
      <c r="B28" s="2" t="s">
        <v>141</v>
      </c>
      <c r="C28" s="28" t="s">
        <v>146</v>
      </c>
      <c r="D28" s="30" t="s">
        <v>133</v>
      </c>
      <c r="E28" s="30">
        <v>3.8</v>
      </c>
      <c r="F28" s="18" t="s">
        <v>143</v>
      </c>
      <c r="G28" s="18" t="s">
        <v>144</v>
      </c>
      <c r="H28" s="18" t="s">
        <v>84</v>
      </c>
      <c r="I28" s="18" t="s">
        <v>137</v>
      </c>
      <c r="J28" s="11">
        <v>10.78</v>
      </c>
      <c r="K28">
        <v>0.45540000000000003</v>
      </c>
      <c r="L28" s="55">
        <f t="shared" si="8"/>
        <v>4.9092120000000001</v>
      </c>
    </row>
    <row r="29" spans="1:18">
      <c r="A29" s="2">
        <v>1</v>
      </c>
      <c r="B29" s="2" t="s">
        <v>141</v>
      </c>
      <c r="C29" s="28" t="s">
        <v>327</v>
      </c>
      <c r="D29" s="30" t="s">
        <v>133</v>
      </c>
      <c r="E29" s="30">
        <v>3.8</v>
      </c>
      <c r="F29" s="18" t="s">
        <v>143</v>
      </c>
      <c r="G29" s="18" t="s">
        <v>144</v>
      </c>
      <c r="H29" s="18" t="s">
        <v>328</v>
      </c>
      <c r="I29" s="18" t="s">
        <v>137</v>
      </c>
      <c r="J29" s="11">
        <v>104.96</v>
      </c>
      <c r="K29">
        <v>0.45540000000000003</v>
      </c>
      <c r="L29" s="55">
        <f t="shared" si="8"/>
        <v>47.798783999999998</v>
      </c>
    </row>
    <row r="30" spans="1:18">
      <c r="A30" s="2">
        <v>1</v>
      </c>
      <c r="B30" s="2" t="s">
        <v>141</v>
      </c>
      <c r="C30" s="28" t="s">
        <v>329</v>
      </c>
      <c r="D30" s="30" t="s">
        <v>133</v>
      </c>
      <c r="E30" s="30">
        <v>3.8</v>
      </c>
      <c r="F30" s="18" t="s">
        <v>143</v>
      </c>
      <c r="G30" s="18" t="s">
        <v>144</v>
      </c>
      <c r="H30" s="18" t="s">
        <v>84</v>
      </c>
      <c r="I30" s="18" t="s">
        <v>137</v>
      </c>
      <c r="J30" s="11">
        <v>10.78</v>
      </c>
      <c r="K30">
        <v>0.45540000000000003</v>
      </c>
      <c r="L30" s="55">
        <f t="shared" si="8"/>
        <v>4.9092120000000001</v>
      </c>
    </row>
    <row r="31" spans="1:18">
      <c r="A31" s="2">
        <v>1</v>
      </c>
      <c r="B31" s="2" t="s">
        <v>141</v>
      </c>
      <c r="C31" s="28" t="s">
        <v>330</v>
      </c>
      <c r="D31" s="30" t="s">
        <v>133</v>
      </c>
      <c r="E31" s="30">
        <v>3.8</v>
      </c>
      <c r="F31" s="18" t="s">
        <v>143</v>
      </c>
      <c r="G31" s="18" t="s">
        <v>144</v>
      </c>
      <c r="H31" s="18" t="s">
        <v>84</v>
      </c>
      <c r="I31" s="18" t="s">
        <v>137</v>
      </c>
      <c r="J31" s="11">
        <v>10.78</v>
      </c>
      <c r="K31">
        <v>0.45540000000000003</v>
      </c>
      <c r="L31" s="55">
        <f t="shared" si="8"/>
        <v>4.9092120000000001</v>
      </c>
    </row>
    <row r="32" spans="1:18">
      <c r="A32" s="2">
        <v>1</v>
      </c>
      <c r="B32" s="2" t="s">
        <v>93</v>
      </c>
      <c r="C32" s="28" t="s">
        <v>331</v>
      </c>
      <c r="D32" s="30" t="s">
        <v>133</v>
      </c>
      <c r="E32" s="30">
        <v>3.8</v>
      </c>
      <c r="F32" s="18" t="s">
        <v>143</v>
      </c>
      <c r="G32" s="18" t="s">
        <v>144</v>
      </c>
      <c r="H32" s="18" t="s">
        <v>313</v>
      </c>
      <c r="I32" s="18" t="s">
        <v>332</v>
      </c>
      <c r="J32" s="11">
        <v>95</v>
      </c>
      <c r="K32">
        <v>0.45540000000000003</v>
      </c>
      <c r="L32" s="55">
        <f t="shared" si="8"/>
        <v>43.263000000000005</v>
      </c>
    </row>
    <row r="33" spans="1:12">
      <c r="A33" s="2">
        <v>1</v>
      </c>
      <c r="B33" s="2" t="s">
        <v>106</v>
      </c>
      <c r="C33" s="28" t="s">
        <v>331</v>
      </c>
      <c r="D33" s="30" t="s">
        <v>133</v>
      </c>
      <c r="E33" s="30">
        <v>1.2</v>
      </c>
      <c r="F33" s="18" t="s">
        <v>134</v>
      </c>
      <c r="G33" s="18" t="s">
        <v>144</v>
      </c>
      <c r="H33" s="18" t="s">
        <v>313</v>
      </c>
      <c r="I33" s="18" t="s">
        <v>137</v>
      </c>
      <c r="J33" s="11">
        <v>92</v>
      </c>
      <c r="K33" s="11">
        <v>0.24729999999999999</v>
      </c>
      <c r="L33" s="55">
        <f t="shared" si="8"/>
        <v>22.7516</v>
      </c>
    </row>
    <row r="34" spans="1:12">
      <c r="A34" s="2">
        <v>2</v>
      </c>
      <c r="B34" s="2" t="s">
        <v>106</v>
      </c>
      <c r="C34" s="28" t="s">
        <v>333</v>
      </c>
      <c r="D34" s="30" t="s">
        <v>133</v>
      </c>
      <c r="E34" s="30">
        <v>1.2</v>
      </c>
      <c r="F34" s="18" t="s">
        <v>134</v>
      </c>
      <c r="G34" s="18" t="s">
        <v>156</v>
      </c>
      <c r="H34" s="18" t="s">
        <v>334</v>
      </c>
      <c r="I34" s="18" t="s">
        <v>137</v>
      </c>
      <c r="J34" s="11">
        <v>198</v>
      </c>
      <c r="K34" s="11">
        <v>0.24729999999999999</v>
      </c>
      <c r="L34" s="55">
        <f t="shared" si="8"/>
        <v>97.930799999999991</v>
      </c>
    </row>
    <row r="35" spans="1:12">
      <c r="A35" s="2">
        <v>1</v>
      </c>
      <c r="B35" s="2" t="s">
        <v>106</v>
      </c>
      <c r="C35" s="28" t="s">
        <v>335</v>
      </c>
      <c r="D35" s="30" t="s">
        <v>133</v>
      </c>
      <c r="E35" s="30">
        <v>1.2</v>
      </c>
      <c r="F35" s="18" t="s">
        <v>134</v>
      </c>
      <c r="G35" s="18" t="s">
        <v>156</v>
      </c>
      <c r="H35" s="18" t="s">
        <v>313</v>
      </c>
      <c r="I35" s="18" t="s">
        <v>137</v>
      </c>
      <c r="J35" s="11">
        <v>186</v>
      </c>
      <c r="K35" s="11">
        <v>0.24729999999999999</v>
      </c>
      <c r="L35" s="55">
        <f t="shared" si="8"/>
        <v>45.997799999999998</v>
      </c>
    </row>
    <row r="36" spans="1:12">
      <c r="A36" s="2">
        <v>1</v>
      </c>
      <c r="B36" s="2" t="s">
        <v>106</v>
      </c>
      <c r="C36" s="28" t="s">
        <v>274</v>
      </c>
      <c r="D36" s="30" t="s">
        <v>133</v>
      </c>
      <c r="E36" s="30">
        <v>1.2</v>
      </c>
      <c r="F36" s="18" t="s">
        <v>134</v>
      </c>
      <c r="G36" s="18" t="s">
        <v>156</v>
      </c>
      <c r="H36" s="18" t="s">
        <v>336</v>
      </c>
      <c r="I36" s="18" t="s">
        <v>137</v>
      </c>
      <c r="J36" s="11">
        <v>145</v>
      </c>
      <c r="K36" s="11">
        <v>0.24729999999999999</v>
      </c>
      <c r="L36" s="55">
        <f t="shared" si="8"/>
        <v>35.858499999999999</v>
      </c>
    </row>
    <row r="37" spans="1:12">
      <c r="A37" s="2">
        <v>1</v>
      </c>
      <c r="B37" s="2" t="s">
        <v>106</v>
      </c>
      <c r="C37" s="28" t="s">
        <v>337</v>
      </c>
      <c r="D37" s="30" t="s">
        <v>133</v>
      </c>
      <c r="E37" s="30">
        <v>1.2</v>
      </c>
      <c r="F37" s="18" t="s">
        <v>134</v>
      </c>
      <c r="G37" s="18" t="s">
        <v>156</v>
      </c>
      <c r="H37" s="18" t="s">
        <v>336</v>
      </c>
      <c r="I37" s="18" t="s">
        <v>338</v>
      </c>
      <c r="J37" s="11">
        <v>72.5</v>
      </c>
      <c r="K37" s="11">
        <v>0.24729999999999999</v>
      </c>
      <c r="L37" s="55">
        <f t="shared" si="8"/>
        <v>17.92925</v>
      </c>
    </row>
    <row r="38" spans="1:12">
      <c r="A38" s="2">
        <v>2</v>
      </c>
      <c r="B38" s="2" t="s">
        <v>106</v>
      </c>
      <c r="C38" s="28" t="s">
        <v>337</v>
      </c>
      <c r="D38" s="30" t="s">
        <v>133</v>
      </c>
      <c r="E38" s="30">
        <v>1.2</v>
      </c>
      <c r="F38" s="18" t="s">
        <v>134</v>
      </c>
      <c r="G38" s="18" t="s">
        <v>336</v>
      </c>
      <c r="H38" s="18" t="s">
        <v>156</v>
      </c>
      <c r="I38" s="18" t="s">
        <v>339</v>
      </c>
      <c r="J38" s="11">
        <v>72.5</v>
      </c>
      <c r="K38" s="11">
        <v>0.24729999999999999</v>
      </c>
      <c r="L38" s="55">
        <f t="shared" si="8"/>
        <v>35.858499999999999</v>
      </c>
    </row>
    <row r="39" spans="1:12">
      <c r="A39" s="2">
        <v>2</v>
      </c>
      <c r="B39" s="2" t="s">
        <v>141</v>
      </c>
      <c r="C39" s="28" t="s">
        <v>340</v>
      </c>
      <c r="D39" s="30" t="s">
        <v>133</v>
      </c>
      <c r="E39" s="30">
        <v>3.8</v>
      </c>
      <c r="F39" s="18" t="s">
        <v>143</v>
      </c>
      <c r="G39" s="18" t="s">
        <v>144</v>
      </c>
      <c r="H39" s="18" t="s">
        <v>341</v>
      </c>
      <c r="I39" s="18" t="s">
        <v>137</v>
      </c>
      <c r="J39" s="11">
        <v>43</v>
      </c>
      <c r="K39">
        <v>0.45540000000000003</v>
      </c>
      <c r="L39" s="55">
        <f t="shared" si="8"/>
        <v>39.164400000000001</v>
      </c>
    </row>
    <row r="40" spans="1:12">
      <c r="A40" s="2">
        <v>2</v>
      </c>
      <c r="B40" s="2" t="s">
        <v>138</v>
      </c>
      <c r="C40" s="28" t="s">
        <v>340</v>
      </c>
      <c r="D40" s="30" t="s">
        <v>133</v>
      </c>
      <c r="E40" s="30">
        <v>1.8</v>
      </c>
      <c r="F40" s="18" t="s">
        <v>140</v>
      </c>
      <c r="G40" s="18" t="s">
        <v>148</v>
      </c>
      <c r="H40" s="18" t="s">
        <v>341</v>
      </c>
      <c r="I40" s="18" t="s">
        <v>137</v>
      </c>
      <c r="J40" s="11">
        <v>53.4</v>
      </c>
      <c r="K40">
        <v>0.30959999999999999</v>
      </c>
      <c r="L40" s="55">
        <f t="shared" si="8"/>
        <v>33.065279999999994</v>
      </c>
    </row>
    <row r="41" spans="1:12">
      <c r="A41" s="2">
        <v>1</v>
      </c>
      <c r="B41" s="2" t="s">
        <v>138</v>
      </c>
      <c r="C41" s="28" t="s">
        <v>340</v>
      </c>
      <c r="D41" s="30" t="s">
        <v>133</v>
      </c>
      <c r="E41" s="30">
        <v>1.8</v>
      </c>
      <c r="F41" s="18" t="s">
        <v>140</v>
      </c>
      <c r="G41" s="18" t="s">
        <v>176</v>
      </c>
      <c r="H41" s="18" t="s">
        <v>148</v>
      </c>
      <c r="I41" s="18" t="s">
        <v>137</v>
      </c>
      <c r="J41" s="11">
        <v>5</v>
      </c>
      <c r="K41">
        <v>0.30959999999999999</v>
      </c>
      <c r="L41" s="55">
        <f t="shared" si="8"/>
        <v>1.548</v>
      </c>
    </row>
    <row r="42" spans="1:12">
      <c r="A42" s="2">
        <v>1</v>
      </c>
      <c r="B42" s="2" t="s">
        <v>106</v>
      </c>
      <c r="C42" s="28" t="s">
        <v>342</v>
      </c>
      <c r="D42" s="30" t="s">
        <v>133</v>
      </c>
      <c r="E42" s="30">
        <v>1.2</v>
      </c>
      <c r="F42" s="18" t="s">
        <v>134</v>
      </c>
      <c r="G42" s="18" t="s">
        <v>156</v>
      </c>
      <c r="H42" s="18" t="s">
        <v>343</v>
      </c>
      <c r="I42" s="18" t="s">
        <v>137</v>
      </c>
      <c r="J42" s="11">
        <v>164</v>
      </c>
      <c r="K42">
        <v>0.24729999999999999</v>
      </c>
      <c r="L42" s="55">
        <f t="shared" si="8"/>
        <v>40.557200000000002</v>
      </c>
    </row>
    <row r="43" spans="1:12">
      <c r="A43" s="2">
        <v>1</v>
      </c>
      <c r="B43" s="2" t="s">
        <v>141</v>
      </c>
      <c r="C43" s="28" t="s">
        <v>344</v>
      </c>
      <c r="D43" s="30" t="s">
        <v>133</v>
      </c>
      <c r="E43" s="30">
        <v>3.8</v>
      </c>
      <c r="F43" s="18" t="s">
        <v>143</v>
      </c>
      <c r="G43" s="18" t="s">
        <v>144</v>
      </c>
      <c r="H43" s="18" t="s">
        <v>345</v>
      </c>
      <c r="I43" s="18" t="s">
        <v>137</v>
      </c>
      <c r="J43" s="11">
        <v>185</v>
      </c>
      <c r="K43">
        <v>0.45540000000000003</v>
      </c>
      <c r="L43" s="55">
        <f t="shared" si="8"/>
        <v>84.249000000000009</v>
      </c>
    </row>
    <row r="44" spans="1:12">
      <c r="A44" s="2">
        <v>1</v>
      </c>
      <c r="B44" s="2" t="s">
        <v>326</v>
      </c>
      <c r="C44" s="28" t="s">
        <v>346</v>
      </c>
      <c r="D44" s="30" t="s">
        <v>133</v>
      </c>
      <c r="E44" s="30">
        <v>2</v>
      </c>
      <c r="F44" s="18" t="s">
        <v>140</v>
      </c>
      <c r="G44" s="18" t="s">
        <v>347</v>
      </c>
      <c r="H44" s="18" t="s">
        <v>336</v>
      </c>
      <c r="I44" s="18" t="s">
        <v>137</v>
      </c>
      <c r="J44" s="11">
        <v>127</v>
      </c>
      <c r="K44">
        <v>0.30959999999999999</v>
      </c>
      <c r="L44" s="55">
        <f t="shared" si="8"/>
        <v>39.319199999999995</v>
      </c>
    </row>
    <row r="45" spans="1:12">
      <c r="A45" s="2">
        <v>1</v>
      </c>
      <c r="B45" s="2" t="s">
        <v>326</v>
      </c>
      <c r="C45" s="28" t="s">
        <v>348</v>
      </c>
      <c r="D45" s="30" t="s">
        <v>133</v>
      </c>
      <c r="E45" s="30">
        <v>2</v>
      </c>
      <c r="F45" s="18" t="s">
        <v>140</v>
      </c>
      <c r="G45" s="18" t="s">
        <v>347</v>
      </c>
      <c r="H45" s="18" t="s">
        <v>336</v>
      </c>
      <c r="I45" s="18" t="s">
        <v>137</v>
      </c>
      <c r="J45" s="11">
        <v>127</v>
      </c>
      <c r="K45">
        <v>0.30959999999999999</v>
      </c>
      <c r="L45" s="55">
        <f t="shared" si="8"/>
        <v>39.319199999999995</v>
      </c>
    </row>
    <row r="46" spans="1:12">
      <c r="A46" s="2">
        <v>2</v>
      </c>
      <c r="B46" s="2" t="s">
        <v>106</v>
      </c>
      <c r="C46" s="28" t="s">
        <v>349</v>
      </c>
      <c r="D46" s="30" t="s">
        <v>133</v>
      </c>
      <c r="E46" s="30">
        <v>1.2</v>
      </c>
      <c r="F46" s="18" t="s">
        <v>134</v>
      </c>
      <c r="G46" s="18" t="s">
        <v>156</v>
      </c>
      <c r="H46" s="18" t="s">
        <v>350</v>
      </c>
      <c r="I46" s="18" t="s">
        <v>137</v>
      </c>
      <c r="J46" s="11">
        <v>186</v>
      </c>
      <c r="K46">
        <v>0.24729999999999999</v>
      </c>
      <c r="L46" s="55">
        <f t="shared" ref="L46:L51" si="9">J46*K46*A46</f>
        <v>91.995599999999996</v>
      </c>
    </row>
    <row r="47" spans="1:12" ht="16">
      <c r="A47" s="2">
        <v>1</v>
      </c>
      <c r="B47" s="2" t="s">
        <v>141</v>
      </c>
      <c r="C47" s="115">
        <v>45574</v>
      </c>
      <c r="D47" s="30" t="s">
        <v>133</v>
      </c>
      <c r="E47" s="30">
        <v>3.8</v>
      </c>
      <c r="F47" s="18" t="s">
        <v>143</v>
      </c>
      <c r="G47" s="145" t="s">
        <v>144</v>
      </c>
      <c r="H47" s="145" t="s">
        <v>351</v>
      </c>
      <c r="I47" s="18" t="s">
        <v>137</v>
      </c>
      <c r="J47" s="228">
        <v>13</v>
      </c>
      <c r="K47">
        <v>0.45540000000000003</v>
      </c>
      <c r="L47" s="55">
        <f t="shared" si="9"/>
        <v>5.9202000000000004</v>
      </c>
    </row>
    <row r="48" spans="1:12" ht="16">
      <c r="A48" s="2">
        <v>1</v>
      </c>
      <c r="B48" s="2" t="s">
        <v>141</v>
      </c>
      <c r="C48" s="115">
        <v>45609</v>
      </c>
      <c r="D48" s="30" t="s">
        <v>133</v>
      </c>
      <c r="E48" s="30">
        <v>3.8</v>
      </c>
      <c r="F48" s="18" t="s">
        <v>143</v>
      </c>
      <c r="G48" s="145" t="s">
        <v>144</v>
      </c>
      <c r="H48" s="145" t="s">
        <v>352</v>
      </c>
      <c r="I48" s="18" t="s">
        <v>137</v>
      </c>
      <c r="J48" s="228">
        <v>13</v>
      </c>
      <c r="K48">
        <v>0.45540000000000003</v>
      </c>
      <c r="L48" s="55">
        <f t="shared" si="9"/>
        <v>5.9202000000000004</v>
      </c>
    </row>
    <row r="49" spans="1:12" ht="16">
      <c r="A49" s="2">
        <v>1</v>
      </c>
      <c r="B49" s="2" t="s">
        <v>141</v>
      </c>
      <c r="C49" s="115">
        <v>45617</v>
      </c>
      <c r="D49" s="30" t="s">
        <v>133</v>
      </c>
      <c r="E49" s="30">
        <v>3.8</v>
      </c>
      <c r="F49" s="18" t="s">
        <v>143</v>
      </c>
      <c r="G49" s="145" t="s">
        <v>144</v>
      </c>
      <c r="H49" s="145" t="s">
        <v>353</v>
      </c>
      <c r="I49" s="18" t="s">
        <v>137</v>
      </c>
      <c r="J49" s="228">
        <v>22</v>
      </c>
      <c r="K49">
        <v>0.45540000000000003</v>
      </c>
      <c r="L49" s="55">
        <f t="shared" si="9"/>
        <v>10.018800000000001</v>
      </c>
    </row>
    <row r="50" spans="1:12" ht="16">
      <c r="A50" s="2">
        <v>1</v>
      </c>
      <c r="B50" s="2" t="s">
        <v>141</v>
      </c>
      <c r="C50" s="115">
        <v>45636</v>
      </c>
      <c r="D50" s="30" t="s">
        <v>133</v>
      </c>
      <c r="E50" s="30">
        <v>3.8</v>
      </c>
      <c r="F50" s="18" t="s">
        <v>143</v>
      </c>
      <c r="G50" s="145" t="s">
        <v>144</v>
      </c>
      <c r="H50" s="145" t="s">
        <v>354</v>
      </c>
      <c r="I50" s="18" t="s">
        <v>137</v>
      </c>
      <c r="J50" s="228">
        <v>192</v>
      </c>
      <c r="K50">
        <v>0.45540000000000003</v>
      </c>
      <c r="L50" s="55">
        <f t="shared" si="9"/>
        <v>87.436800000000005</v>
      </c>
    </row>
    <row r="51" spans="1:12" ht="16">
      <c r="A51" s="2">
        <v>1</v>
      </c>
      <c r="B51" s="2" t="s">
        <v>141</v>
      </c>
      <c r="C51" s="115">
        <v>45637</v>
      </c>
      <c r="D51" s="30" t="s">
        <v>133</v>
      </c>
      <c r="E51" s="30">
        <v>3.8</v>
      </c>
      <c r="F51" s="18" t="s">
        <v>143</v>
      </c>
      <c r="G51" s="145" t="s">
        <v>144</v>
      </c>
      <c r="H51" s="145" t="s">
        <v>355</v>
      </c>
      <c r="I51" s="18" t="s">
        <v>137</v>
      </c>
      <c r="J51" s="228">
        <v>14</v>
      </c>
      <c r="K51">
        <v>0.45540000000000003</v>
      </c>
      <c r="L51" s="55">
        <f t="shared" si="9"/>
        <v>6.3756000000000004</v>
      </c>
    </row>
    <row r="52" spans="1:12">
      <c r="C52" s="115"/>
      <c r="D52" s="30"/>
      <c r="E52" s="30"/>
      <c r="F52" s="18"/>
      <c r="G52" s="145"/>
      <c r="H52" s="145"/>
      <c r="J52" s="228"/>
      <c r="L52" s="55"/>
    </row>
    <row r="54" spans="1:12" ht="20" thickBot="1">
      <c r="A54" s="114"/>
      <c r="B54" s="56"/>
      <c r="C54" s="57"/>
      <c r="D54" s="58"/>
      <c r="E54" s="56"/>
      <c r="F54" s="56"/>
      <c r="G54" s="59"/>
      <c r="H54" s="59"/>
      <c r="I54" s="59"/>
      <c r="J54" s="67" t="s">
        <v>105</v>
      </c>
      <c r="K54" s="54"/>
      <c r="L54" s="194">
        <f>SUM(L22:L53)</f>
        <v>1182.1290980000003</v>
      </c>
    </row>
    <row r="55" spans="1:12" ht="16" thickTop="1">
      <c r="G55" s="40" t="s">
        <v>105</v>
      </c>
      <c r="H55" s="40"/>
    </row>
    <row r="57" spans="1:12">
      <c r="A57" s="31" t="s">
        <v>99</v>
      </c>
      <c r="C57" s="2"/>
      <c r="G57" s="40"/>
      <c r="H57" s="18"/>
      <c r="I57" s="11"/>
      <c r="J57"/>
    </row>
    <row r="58" spans="1:12" ht="32">
      <c r="A58" s="119" t="s">
        <v>179</v>
      </c>
      <c r="B58" s="119" t="s">
        <v>122</v>
      </c>
      <c r="C58" s="119" t="s">
        <v>180</v>
      </c>
      <c r="D58" s="119" t="s">
        <v>181</v>
      </c>
      <c r="E58" s="119" t="s">
        <v>182</v>
      </c>
      <c r="F58" s="35" t="s">
        <v>285</v>
      </c>
      <c r="G58" s="34" t="s">
        <v>79</v>
      </c>
      <c r="H58" s="34" t="s">
        <v>75</v>
      </c>
      <c r="I58" s="81" t="s">
        <v>76</v>
      </c>
      <c r="J58" s="120"/>
      <c r="K58" s="121" t="s">
        <v>80</v>
      </c>
    </row>
    <row r="59" spans="1:12">
      <c r="C59" s="28"/>
      <c r="F59" s="84"/>
      <c r="G59" s="30">
        <f t="shared" ref="G59" si="10">F59*1.60934</f>
        <v>0</v>
      </c>
      <c r="H59" s="116"/>
      <c r="I59" s="134">
        <f>G59*H59</f>
        <v>0</v>
      </c>
      <c r="J59"/>
      <c r="K59" s="134">
        <f>I59*A59</f>
        <v>0</v>
      </c>
    </row>
    <row r="60" spans="1:12">
      <c r="C60" s="28"/>
      <c r="D60" s="85"/>
      <c r="E60" s="30"/>
      <c r="F60" s="18"/>
      <c r="G60" s="11"/>
      <c r="H60" s="88"/>
      <c r="I60" s="55"/>
      <c r="J60"/>
      <c r="K60" s="21"/>
    </row>
    <row r="61" spans="1:12" ht="16" thickBot="1">
      <c r="A61" s="114"/>
      <c r="B61" s="114"/>
      <c r="C61" s="114"/>
      <c r="D61" s="114"/>
      <c r="E61" s="114"/>
      <c r="F61" s="52" t="s">
        <v>105</v>
      </c>
      <c r="G61" s="122" t="s">
        <v>105</v>
      </c>
      <c r="H61" s="52">
        <v>0.20826</v>
      </c>
      <c r="I61" s="123">
        <f>SUM(I59:I60)</f>
        <v>0</v>
      </c>
      <c r="J61" s="54"/>
      <c r="K61" s="86">
        <f>SUM(K59:K60)</f>
        <v>0</v>
      </c>
    </row>
    <row r="62" spans="1:12" ht="16" thickTop="1">
      <c r="C62" s="2"/>
      <c r="G62" s="40"/>
      <c r="H62" s="18"/>
      <c r="I62" s="30">
        <f>SUM(I61,O15)</f>
        <v>8.8739780083199999</v>
      </c>
      <c r="J62"/>
      <c r="K62" s="189">
        <f>SUM(K61,O15)</f>
        <v>8.8739780083199999</v>
      </c>
    </row>
    <row r="63" spans="1:12">
      <c r="C63" s="2"/>
      <c r="G63" s="40"/>
      <c r="H63" s="18"/>
      <c r="I63" s="11"/>
      <c r="J63"/>
    </row>
    <row r="64" spans="1:12">
      <c r="A64" s="31" t="s">
        <v>193</v>
      </c>
      <c r="C64" s="2"/>
      <c r="G64" s="40"/>
      <c r="H64" s="18"/>
      <c r="I64" s="11"/>
      <c r="J64"/>
    </row>
    <row r="65" spans="1:10" ht="16">
      <c r="A65" s="125" t="s">
        <v>69</v>
      </c>
      <c r="B65" s="125" t="s">
        <v>123</v>
      </c>
      <c r="C65" s="125" t="s">
        <v>194</v>
      </c>
      <c r="D65" s="125" t="s">
        <v>182</v>
      </c>
      <c r="E65" s="125" t="s">
        <v>289</v>
      </c>
      <c r="F65" s="34" t="s">
        <v>75</v>
      </c>
      <c r="G65" s="138" t="s">
        <v>196</v>
      </c>
      <c r="H65" s="127"/>
      <c r="I65" s="128"/>
      <c r="J65" s="120"/>
    </row>
    <row r="66" spans="1:10">
      <c r="A66" s="2" t="s">
        <v>105</v>
      </c>
      <c r="B66" s="2" t="s">
        <v>105</v>
      </c>
      <c r="C66" s="2" t="s">
        <v>105</v>
      </c>
      <c r="D66" s="2" t="s">
        <v>105</v>
      </c>
      <c r="F66" s="113">
        <v>0.24587000000000001</v>
      </c>
      <c r="G66" s="42">
        <f>E66*F66</f>
        <v>0</v>
      </c>
      <c r="H66" s="18"/>
      <c r="I66" s="11"/>
      <c r="J66"/>
    </row>
    <row r="67" spans="1:10">
      <c r="A67" s="2" t="s">
        <v>105</v>
      </c>
      <c r="B67" s="2" t="s">
        <v>105</v>
      </c>
      <c r="C67" s="2" t="s">
        <v>105</v>
      </c>
      <c r="D67" s="2" t="s">
        <v>105</v>
      </c>
      <c r="F67" s="113">
        <v>0.24587000000000001</v>
      </c>
      <c r="G67" s="42">
        <f>E67*F67</f>
        <v>0</v>
      </c>
      <c r="H67" s="18"/>
      <c r="I67" s="11"/>
      <c r="J67"/>
    </row>
    <row r="68" spans="1:10">
      <c r="C68" s="2"/>
      <c r="F68" s="139" t="s">
        <v>207</v>
      </c>
      <c r="G68" s="185">
        <f>SUM(G66:G67)</f>
        <v>0</v>
      </c>
      <c r="H68" s="18"/>
      <c r="I68" s="11"/>
      <c r="J68"/>
    </row>
    <row r="69" spans="1:10">
      <c r="A69" s="31" t="s">
        <v>202</v>
      </c>
      <c r="C69" s="2"/>
      <c r="G69" s="40"/>
      <c r="H69" s="18"/>
      <c r="I69" s="11"/>
      <c r="J69"/>
    </row>
    <row r="70" spans="1:10" ht="16">
      <c r="A70" s="125" t="s">
        <v>69</v>
      </c>
      <c r="B70" s="125" t="s">
        <v>123</v>
      </c>
      <c r="C70" s="125" t="s">
        <v>203</v>
      </c>
      <c r="D70" s="34" t="s">
        <v>204</v>
      </c>
      <c r="E70" s="137" t="s">
        <v>80</v>
      </c>
      <c r="F70" s="126"/>
      <c r="G70" s="126"/>
      <c r="H70" s="127"/>
      <c r="I70" s="128"/>
      <c r="J70" s="120"/>
    </row>
    <row r="71" spans="1:10">
      <c r="A71" s="2" t="s">
        <v>105</v>
      </c>
      <c r="B71" s="118" t="s">
        <v>105</v>
      </c>
      <c r="C71" s="2">
        <v>0</v>
      </c>
      <c r="D71" s="18">
        <v>11.5</v>
      </c>
      <c r="E71" s="80">
        <f>D71*C71</f>
        <v>0</v>
      </c>
      <c r="H71" s="18"/>
      <c r="I71" s="11"/>
      <c r="J71"/>
    </row>
    <row r="72" spans="1:10" s="69" customFormat="1" ht="19">
      <c r="A72" s="2"/>
      <c r="B72" s="2"/>
      <c r="C72" s="2"/>
      <c r="D72" s="60" t="s">
        <v>207</v>
      </c>
      <c r="E72" s="186">
        <f>SUM(E71)</f>
        <v>0</v>
      </c>
      <c r="F72" s="70"/>
      <c r="G72" s="70"/>
      <c r="H72" s="71"/>
      <c r="I72" s="72"/>
    </row>
    <row r="74" spans="1:10" ht="19">
      <c r="A74" s="141" t="s">
        <v>356</v>
      </c>
      <c r="B74" s="141"/>
      <c r="C74" s="195"/>
      <c r="D74" s="251">
        <f>SUM(E72,G68,K62,L54,Q15)</f>
        <v>1218.3253529584404</v>
      </c>
      <c r="E74" s="68"/>
      <c r="F74" s="70"/>
      <c r="G74" s="70"/>
      <c r="H74" s="70"/>
      <c r="I74" s="7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D75A9-468D-467A-8BDB-F9EB289F8174}">
  <dimension ref="A1:R32"/>
  <sheetViews>
    <sheetView workbookViewId="0">
      <pane ySplit="1" topLeftCell="A2" activePane="bottomLeft" state="frozen"/>
      <selection activeCell="E6" sqref="E6"/>
      <selection pane="bottomLeft" activeCell="K32" sqref="K32:L32"/>
    </sheetView>
  </sheetViews>
  <sheetFormatPr baseColWidth="10" defaultColWidth="8.83203125" defaultRowHeight="15"/>
  <cols>
    <col min="1" max="1" width="16.1640625" bestFit="1" customWidth="1"/>
    <col min="2" max="2" width="11.5" style="2" customWidth="1"/>
    <col min="3" max="3" width="10.5" style="2" bestFit="1" customWidth="1"/>
    <col min="4" max="4" width="18.1640625" bestFit="1" customWidth="1"/>
    <col min="5" max="5" width="10.6640625" style="18" customWidth="1"/>
    <col min="7" max="7" width="10.33203125" style="30" bestFit="1" customWidth="1"/>
    <col min="8" max="8" width="8.83203125" style="18"/>
    <col min="9" max="9" width="10" style="11" customWidth="1"/>
    <col min="10" max="10" width="18.33203125" style="11" customWidth="1"/>
    <col min="11" max="11" width="12.33203125" customWidth="1"/>
    <col min="12" max="12" width="10.33203125" customWidth="1"/>
    <col min="16" max="16" width="12" customWidth="1"/>
    <col min="17" max="17" width="24.1640625" customWidth="1"/>
    <col min="18" max="18" width="19.5" customWidth="1"/>
  </cols>
  <sheetData>
    <row r="1" spans="1:18" ht="19">
      <c r="A1" s="69" t="s">
        <v>357</v>
      </c>
      <c r="C1" s="28"/>
      <c r="K1" s="11"/>
      <c r="L1" s="23"/>
    </row>
    <row r="2" spans="1:18" ht="80">
      <c r="A2" s="32" t="s">
        <v>122</v>
      </c>
      <c r="B2" s="32" t="s">
        <v>210</v>
      </c>
      <c r="C2" s="32" t="s">
        <v>211</v>
      </c>
      <c r="D2" s="32" t="s">
        <v>212</v>
      </c>
      <c r="E2" s="33" t="s">
        <v>358</v>
      </c>
      <c r="F2" s="32" t="s">
        <v>124</v>
      </c>
      <c r="G2" s="34" t="s">
        <v>125</v>
      </c>
      <c r="H2" s="33" t="s">
        <v>126</v>
      </c>
      <c r="I2" s="35" t="s">
        <v>299</v>
      </c>
      <c r="J2" s="35" t="s">
        <v>215</v>
      </c>
      <c r="K2" s="35" t="s">
        <v>359</v>
      </c>
      <c r="L2" s="90" t="s">
        <v>217</v>
      </c>
      <c r="N2" s="229" t="s">
        <v>311</v>
      </c>
    </row>
    <row r="3" spans="1:18">
      <c r="A3" t="s">
        <v>228</v>
      </c>
      <c r="B3" s="2" t="s">
        <v>222</v>
      </c>
      <c r="D3" t="s">
        <v>223</v>
      </c>
      <c r="E3" s="18">
        <v>14</v>
      </c>
      <c r="F3" t="s">
        <v>133</v>
      </c>
      <c r="G3" s="30">
        <v>1.8</v>
      </c>
      <c r="H3" s="18" t="s">
        <v>224</v>
      </c>
      <c r="I3" s="152">
        <f>20.4*E3</f>
        <v>285.59999999999997</v>
      </c>
      <c r="J3" s="152"/>
      <c r="K3" s="152">
        <v>0.30959999999999999</v>
      </c>
      <c r="L3" s="244">
        <f t="shared" ref="L3:L7" si="0">I3*K3</f>
        <v>88.421759999999992</v>
      </c>
    </row>
    <row r="4" spans="1:18">
      <c r="A4" t="s">
        <v>230</v>
      </c>
      <c r="B4" s="2" t="s">
        <v>222</v>
      </c>
      <c r="C4" s="28">
        <v>45473</v>
      </c>
      <c r="D4" t="s">
        <v>223</v>
      </c>
      <c r="E4" s="18">
        <v>12</v>
      </c>
      <c r="F4" t="s">
        <v>133</v>
      </c>
      <c r="G4" s="30">
        <v>2</v>
      </c>
      <c r="H4" s="18" t="s">
        <v>224</v>
      </c>
      <c r="I4" s="152">
        <f>25*E4</f>
        <v>300</v>
      </c>
      <c r="J4" s="152"/>
      <c r="K4" s="152">
        <v>0.30959999999999999</v>
      </c>
      <c r="L4" s="244">
        <f t="shared" si="0"/>
        <v>92.88</v>
      </c>
      <c r="N4" s="61" t="s">
        <v>314</v>
      </c>
      <c r="O4" s="61" t="s">
        <v>315</v>
      </c>
      <c r="P4" s="61" t="s">
        <v>316</v>
      </c>
      <c r="Q4" s="61" t="s">
        <v>317</v>
      </c>
      <c r="R4" s="61" t="s">
        <v>318</v>
      </c>
    </row>
    <row r="5" spans="1:18">
      <c r="A5" t="s">
        <v>232</v>
      </c>
      <c r="B5" s="2" t="s">
        <v>222</v>
      </c>
      <c r="C5" s="28">
        <v>45542</v>
      </c>
      <c r="D5" t="s">
        <v>223</v>
      </c>
      <c r="E5" s="18">
        <v>14</v>
      </c>
      <c r="F5" t="s">
        <v>133</v>
      </c>
      <c r="G5" s="30">
        <v>2</v>
      </c>
      <c r="H5" s="18" t="s">
        <v>224</v>
      </c>
      <c r="I5" s="152">
        <f>25.4*E5</f>
        <v>355.59999999999997</v>
      </c>
      <c r="J5" s="152"/>
      <c r="K5" s="152">
        <v>0.30959999999999999</v>
      </c>
      <c r="L5" s="244">
        <f t="shared" si="0"/>
        <v>110.09375999999999</v>
      </c>
      <c r="N5" t="s">
        <v>319</v>
      </c>
      <c r="O5" t="s">
        <v>320</v>
      </c>
      <c r="P5">
        <v>0.1537</v>
      </c>
      <c r="Q5">
        <v>0.24729999999999999</v>
      </c>
      <c r="R5" s="61">
        <v>0.25</v>
      </c>
    </row>
    <row r="6" spans="1:18">
      <c r="A6" t="s">
        <v>234</v>
      </c>
      <c r="B6" s="2" t="s">
        <v>222</v>
      </c>
      <c r="D6" t="s">
        <v>223</v>
      </c>
      <c r="E6" s="18">
        <v>14</v>
      </c>
      <c r="F6" t="s">
        <v>133</v>
      </c>
      <c r="G6" s="30">
        <v>3.8</v>
      </c>
      <c r="H6" s="18" t="s">
        <v>300</v>
      </c>
      <c r="I6" s="152">
        <f>8.4*E6</f>
        <v>117.60000000000001</v>
      </c>
      <c r="J6" s="152"/>
      <c r="K6" s="152">
        <v>0.45540000000000003</v>
      </c>
      <c r="L6" s="244">
        <f t="shared" si="0"/>
        <v>53.555040000000005</v>
      </c>
      <c r="N6" t="s">
        <v>321</v>
      </c>
      <c r="O6" t="s">
        <v>322</v>
      </c>
      <c r="P6">
        <v>0.1923</v>
      </c>
      <c r="Q6">
        <v>0.30959999999999999</v>
      </c>
      <c r="R6" s="61">
        <v>0.31</v>
      </c>
    </row>
    <row r="7" spans="1:18">
      <c r="A7" t="s">
        <v>239</v>
      </c>
      <c r="B7" s="2" t="s">
        <v>222</v>
      </c>
      <c r="C7" s="28">
        <v>45517</v>
      </c>
      <c r="D7" t="s">
        <v>223</v>
      </c>
      <c r="E7" s="2" t="s">
        <v>301</v>
      </c>
      <c r="F7" s="2"/>
      <c r="G7" s="85"/>
      <c r="H7" s="2"/>
      <c r="I7" s="152">
        <v>0</v>
      </c>
      <c r="J7" s="152"/>
      <c r="K7" s="152">
        <v>0</v>
      </c>
      <c r="L7" s="244">
        <f t="shared" si="0"/>
        <v>0</v>
      </c>
      <c r="N7" t="s">
        <v>324</v>
      </c>
      <c r="O7" t="s">
        <v>325</v>
      </c>
      <c r="P7">
        <v>0.28299999999999997</v>
      </c>
      <c r="Q7">
        <v>0.45540000000000003</v>
      </c>
      <c r="R7" s="61">
        <v>0.46</v>
      </c>
    </row>
    <row r="8" spans="1:18">
      <c r="A8" t="s">
        <v>302</v>
      </c>
      <c r="B8" s="28">
        <v>45145</v>
      </c>
      <c r="C8" s="28">
        <v>45373</v>
      </c>
      <c r="D8" t="s">
        <v>223</v>
      </c>
      <c r="E8" s="18">
        <v>6</v>
      </c>
      <c r="F8" t="s">
        <v>133</v>
      </c>
      <c r="G8" s="30">
        <v>1.2</v>
      </c>
      <c r="H8" s="18" t="s">
        <v>227</v>
      </c>
      <c r="I8" s="152">
        <f>10.6*E8</f>
        <v>63.599999999999994</v>
      </c>
      <c r="J8" s="152"/>
      <c r="K8" s="152">
        <v>0.24729999999999999</v>
      </c>
      <c r="L8" s="244">
        <f t="shared" ref="L8" si="1">I8*K8</f>
        <v>15.728279999999998</v>
      </c>
    </row>
    <row r="9" spans="1:18">
      <c r="A9" t="s">
        <v>360</v>
      </c>
      <c r="B9" s="28">
        <v>45328</v>
      </c>
      <c r="C9" s="28"/>
      <c r="D9" t="s">
        <v>361</v>
      </c>
      <c r="E9" s="18">
        <v>14</v>
      </c>
      <c r="F9" t="s">
        <v>133</v>
      </c>
      <c r="G9" s="30">
        <v>2</v>
      </c>
      <c r="H9" s="18" t="s">
        <v>224</v>
      </c>
      <c r="I9" s="152">
        <f>65*E9</f>
        <v>910</v>
      </c>
      <c r="J9" s="152"/>
      <c r="K9" s="152">
        <v>0.30959999999999999</v>
      </c>
      <c r="L9" s="244">
        <f t="shared" ref="L9" si="2">I9*K9</f>
        <v>281.73599999999999</v>
      </c>
    </row>
    <row r="10" spans="1:18">
      <c r="L10" s="245">
        <f>SUM(L3:L8)</f>
        <v>360.67883999999998</v>
      </c>
    </row>
    <row r="11" spans="1:18" ht="19">
      <c r="A11" s="243" t="s">
        <v>362</v>
      </c>
      <c r="B11" s="28"/>
      <c r="C11" s="28"/>
      <c r="L11" s="246"/>
    </row>
    <row r="12" spans="1:18">
      <c r="A12" t="s">
        <v>228</v>
      </c>
      <c r="B12" s="2" t="s">
        <v>222</v>
      </c>
      <c r="D12" t="s">
        <v>223</v>
      </c>
      <c r="E12" s="18">
        <v>8</v>
      </c>
      <c r="F12" t="s">
        <v>133</v>
      </c>
      <c r="G12" s="30">
        <v>1.8</v>
      </c>
      <c r="H12" s="18" t="s">
        <v>224</v>
      </c>
      <c r="I12" s="152">
        <f>12.3*E12</f>
        <v>98.4</v>
      </c>
      <c r="J12" s="152"/>
      <c r="K12" s="152">
        <v>0.30959999999999999</v>
      </c>
      <c r="L12" s="244">
        <f t="shared" ref="L12:L14" si="3">I12*K12</f>
        <v>30.464639999999999</v>
      </c>
    </row>
    <row r="13" spans="1:18">
      <c r="A13" t="s">
        <v>360</v>
      </c>
      <c r="B13" s="28" t="s">
        <v>363</v>
      </c>
      <c r="C13" s="28">
        <v>45747</v>
      </c>
      <c r="D13" t="s">
        <v>361</v>
      </c>
      <c r="E13" s="18">
        <v>8</v>
      </c>
      <c r="F13" t="s">
        <v>133</v>
      </c>
      <c r="G13" s="30">
        <v>2</v>
      </c>
      <c r="H13" s="18" t="s">
        <v>224</v>
      </c>
      <c r="I13" s="152">
        <f>34.1*E13</f>
        <v>272.8</v>
      </c>
      <c r="J13" s="152"/>
      <c r="K13" s="152">
        <v>0.30959999999999999</v>
      </c>
      <c r="L13" s="244">
        <f t="shared" si="3"/>
        <v>84.458879999999994</v>
      </c>
    </row>
    <row r="14" spans="1:18">
      <c r="A14" t="s">
        <v>234</v>
      </c>
      <c r="B14" s="2" t="s">
        <v>222</v>
      </c>
      <c r="D14" t="s">
        <v>223</v>
      </c>
      <c r="E14" s="18">
        <v>8</v>
      </c>
      <c r="F14" t="s">
        <v>133</v>
      </c>
      <c r="G14" s="30">
        <v>3.8</v>
      </c>
      <c r="H14" s="18" t="s">
        <v>300</v>
      </c>
      <c r="I14" s="152">
        <f>4.6*E14</f>
        <v>36.799999999999997</v>
      </c>
      <c r="J14" s="152"/>
      <c r="K14" s="152">
        <v>0.45540000000000003</v>
      </c>
      <c r="L14" s="244">
        <f t="shared" si="3"/>
        <v>16.75872</v>
      </c>
      <c r="R14" s="61"/>
    </row>
    <row r="15" spans="1:18">
      <c r="L15" s="247">
        <f>SUM(L12:L14)</f>
        <v>131.68224000000001</v>
      </c>
    </row>
    <row r="16" spans="1:18">
      <c r="L16" s="246"/>
    </row>
    <row r="17" spans="1:12" ht="19">
      <c r="A17" s="69" t="s">
        <v>364</v>
      </c>
      <c r="L17" s="246"/>
    </row>
    <row r="18" spans="1:12">
      <c r="A18" s="36"/>
      <c r="B18" s="36"/>
      <c r="C18" s="36"/>
      <c r="D18" s="36"/>
      <c r="E18" s="38"/>
      <c r="F18" s="36"/>
      <c r="G18" s="37"/>
      <c r="H18" s="38"/>
      <c r="I18" s="39"/>
      <c r="J18" s="39"/>
      <c r="K18" s="39"/>
      <c r="L18" s="248"/>
    </row>
    <row r="19" spans="1:12">
      <c r="K19" s="11"/>
      <c r="L19" s="249"/>
    </row>
    <row r="20" spans="1:12">
      <c r="C20" s="28"/>
      <c r="K20" s="11"/>
      <c r="L20" s="249"/>
    </row>
    <row r="21" spans="1:12">
      <c r="C21" s="28"/>
      <c r="K21" s="11"/>
      <c r="L21" s="249"/>
    </row>
    <row r="22" spans="1:12">
      <c r="K22" s="11"/>
      <c r="L22" s="249"/>
    </row>
    <row r="23" spans="1:12">
      <c r="C23" s="28"/>
      <c r="F23" s="2"/>
      <c r="G23" s="133"/>
      <c r="H23" s="113"/>
      <c r="I23" s="239"/>
      <c r="J23" s="2"/>
      <c r="K23" s="11"/>
      <c r="L23" s="249"/>
    </row>
    <row r="24" spans="1:12">
      <c r="B24" s="28"/>
      <c r="C24" s="28"/>
      <c r="I24" s="152"/>
      <c r="J24" s="152"/>
      <c r="K24" s="152"/>
      <c r="L24" s="249"/>
    </row>
    <row r="25" spans="1:12">
      <c r="B25" s="28"/>
      <c r="C25" s="240"/>
      <c r="K25" s="11"/>
      <c r="L25" s="249"/>
    </row>
    <row r="26" spans="1:12">
      <c r="L26" s="249"/>
    </row>
    <row r="27" spans="1:12">
      <c r="L27" s="246"/>
    </row>
    <row r="28" spans="1:12">
      <c r="L28" s="246"/>
    </row>
    <row r="29" spans="1:12">
      <c r="L29" s="246"/>
    </row>
    <row r="30" spans="1:12">
      <c r="L30" s="246"/>
    </row>
    <row r="31" spans="1:12">
      <c r="L31" s="246"/>
    </row>
    <row r="32" spans="1:12">
      <c r="K32" s="230" t="s">
        <v>303</v>
      </c>
      <c r="L32" s="250">
        <f>SUM(L15,L10)</f>
        <v>492.36108000000002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AE74E9FD3B3047BD31ABC12A7955BE" ma:contentTypeVersion="15" ma:contentTypeDescription="Create a new document." ma:contentTypeScope="" ma:versionID="8117389df2797e4be9e49b452cedb434">
  <xsd:schema xmlns:xsd="http://www.w3.org/2001/XMLSchema" xmlns:xs="http://www.w3.org/2001/XMLSchema" xmlns:p="http://schemas.microsoft.com/office/2006/metadata/properties" xmlns:ns1="http://schemas.microsoft.com/sharepoint/v3" xmlns:ns2="76cac33e-d073-40c6-9853-006c0a65ee00" xmlns:ns3="2934eee1-cecc-43d1-a5b5-c7bfcb7faace" targetNamespace="http://schemas.microsoft.com/office/2006/metadata/properties" ma:root="true" ma:fieldsID="b3b98a2b2318e8523400b80d1eed9b63" ns1:_="" ns2:_="" ns3:_="">
    <xsd:import namespace="http://schemas.microsoft.com/sharepoint/v3"/>
    <xsd:import namespace="76cac33e-d073-40c6-9853-006c0a65ee00"/>
    <xsd:import namespace="2934eee1-cecc-43d1-a5b5-c7bfcb7faa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cac33e-d073-40c6-9853-006c0a65ee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61dedc3-11dd-4a9b-b706-a4f69e0d0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4eee1-cecc-43d1-a5b5-c7bfcb7faac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547efd0-546f-4d6a-a61d-09e6648c8628}" ma:internalName="TaxCatchAll" ma:showField="CatchAllData" ma:web="2934eee1-cecc-43d1-a5b5-c7bfcb7faa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34eee1-cecc-43d1-a5b5-c7bfcb7faace" xsi:nil="true"/>
    <lcf76f155ced4ddcb4097134ff3c332f xmlns="76cac33e-d073-40c6-9853-006c0a65ee00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604C3-24D8-4595-9663-D3E40D843908}"/>
</file>

<file path=customXml/itemProps2.xml><?xml version="1.0" encoding="utf-8"?>
<ds:datastoreItem xmlns:ds="http://schemas.openxmlformats.org/officeDocument/2006/customXml" ds:itemID="{EB7DBF35-D7CB-4490-BB0A-8A9E92A18C0E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c0da9d13-51b1-4f9d-a34f-95ccabddbb57"/>
    <ds:schemaRef ds:uri="f5071315-32f0-4655-817f-10b91b81cc25"/>
  </ds:schemaRefs>
</ds:datastoreItem>
</file>

<file path=customXml/itemProps3.xml><?xml version="1.0" encoding="utf-8"?>
<ds:datastoreItem xmlns:ds="http://schemas.openxmlformats.org/officeDocument/2006/customXml" ds:itemID="{AB856762-7B7F-45B8-8B40-386FCEB0C1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 Sheet </vt:lpstr>
      <vt:lpstr>Quarterly Measurements - 1&amp;2</vt:lpstr>
      <vt:lpstr>Monthly measurements - 1&amp;2 </vt:lpstr>
      <vt:lpstr>SCOPE 3 - 2022 Business Travel</vt:lpstr>
      <vt:lpstr>SCOPE 3 - 2022 WFH and commute</vt:lpstr>
      <vt:lpstr>SCOPE 3 - 2023 Business Travel</vt:lpstr>
      <vt:lpstr>SCOPE 3 - 2023 WFH and commute</vt:lpstr>
      <vt:lpstr>SCOPE 3 - 2024 Business Travel</vt:lpstr>
      <vt:lpstr>SCOPE 3 - 2024 WFH and commute</vt:lpstr>
      <vt:lpstr>SCOPE 1 - 2025 Petrol CO2 Emiss</vt:lpstr>
      <vt:lpstr>SCOPE 3 - 2025 BT</vt:lpstr>
      <vt:lpstr>SCOPE 3 - 2025 WFH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Tracy Edwards</dc:creator>
  <cp:keywords/>
  <dc:description/>
  <cp:lastModifiedBy>Peter Cronin</cp:lastModifiedBy>
  <cp:revision/>
  <dcterms:created xsi:type="dcterms:W3CDTF">2022-07-19T15:12:34Z</dcterms:created>
  <dcterms:modified xsi:type="dcterms:W3CDTF">2025-10-30T18:40:49Z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0x010100F5AE74E9FD3B3047BD31ABC12A7955BE</vt:lpwstr>
  </property>
  <property fmtid="{D5CDD505-2E9C-101B-9397-08002B2CF9AE}" pid="3" name="MediaServiceImageTags">
    <vt:lpwstr/>
  </property>
</Properties>
</file>